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4"/>
  <workbookPr/>
  <mc:AlternateContent xmlns:mc="http://schemas.openxmlformats.org/markup-compatibility/2006">
    <mc:Choice Requires="x15">
      <x15ac:absPath xmlns:x15ac="http://schemas.microsoft.com/office/spreadsheetml/2010/11/ac" url="C:\Hello Builders\Ganusha - QS\HB-000 Estimate\HBFP - 008 - 2023.10.26 - Mr. Rizwan @ Dematagoda (HB)\003 - BOQ\"/>
    </mc:Choice>
  </mc:AlternateContent>
  <xr:revisionPtr revIDLastSave="0" documentId="13_ncr:1_{C103CC5F-4DEF-4B74-AB71-DBFAC967B70B}" xr6:coauthVersionLast="36" xr6:coauthVersionMax="36" xr10:uidLastSave="{00000000-0000-0000-0000-000000000000}"/>
  <bookViews>
    <workbookView xWindow="0" yWindow="0" windowWidth="23040" windowHeight="9060" tabRatio="958" activeTab="16" xr2:uid="{00000000-000D-0000-FFFF-FFFF00000000}"/>
  </bookViews>
  <sheets>
    <sheet name="front" sheetId="44" r:id="rId1"/>
    <sheet name="grnd summry- tender" sheetId="32" r:id="rId2"/>
    <sheet name="summary" sheetId="29" r:id="rId3"/>
    <sheet name="Main sum" sheetId="71" r:id="rId4"/>
    <sheet name="prelims" sheetId="68" r:id="rId5"/>
    <sheet name="exca" sheetId="15" r:id="rId6"/>
    <sheet name="concrete" sheetId="30" r:id="rId7"/>
    <sheet name="masnry" sheetId="16" r:id="rId8"/>
    <sheet name="floring" sheetId="13" r:id="rId9"/>
    <sheet name="plastering" sheetId="19" r:id="rId10"/>
    <sheet name="tile" sheetId="66" r:id="rId11"/>
    <sheet name="paint" sheetId="20" r:id="rId12"/>
    <sheet name="plumbing " sheetId="65" r:id="rId13"/>
    <sheet name="electicle " sheetId="67" r:id="rId14"/>
    <sheet name="metal " sheetId="64" r:id="rId15"/>
    <sheet name="waterprof" sheetId="31" r:id="rId16"/>
    <sheet name="Pool" sheetId="42" r:id="rId17"/>
    <sheet name="Pantry" sheetId="70" r:id="rId18"/>
    <sheet name="Rate Breakdowns" sheetId="63" r:id="rId19"/>
    <sheet name="roof" sheetId="37" state="hidden" r:id="rId20"/>
    <sheet name="mis" sheetId="69" state="hidden" r:id="rId21"/>
    <sheet name="Material" sheetId="62" r:id="rId22"/>
    <sheet name="m shet Miss premila" sheetId="12" state="hidden" r:id="rId23"/>
    <sheet name="Sheet7" sheetId="61" state="hidden" r:id="rId24"/>
    <sheet name="Sheet4" sheetId="39" state="hidden" r:id="rId25"/>
    <sheet name="Sheet5" sheetId="40" state="hidden" r:id="rId26"/>
    <sheet name="rf" sheetId="18" state="hidden" r:id="rId27"/>
    <sheet name="Minuwangoda Final" sheetId="36" state="hidden" r:id="rId28"/>
    <sheet name="Timber doors" sheetId="24" state="hidden" r:id="rId29"/>
    <sheet name="steel work" sheetId="50" state="hidden" r:id="rId30"/>
    <sheet name="Sheet6" sheetId="48" state="hidden" r:id="rId31"/>
    <sheet name="BOQ-Electrical System" sheetId="56" state="hidden" r:id="rId32"/>
    <sheet name="electicle" sheetId="27" state="hidden" r:id="rId33"/>
    <sheet name="Wattala - (6)" sheetId="25" state="hidden" r:id="rId34"/>
    <sheet name="machncle" sheetId="33" state="hidden" r:id="rId35"/>
    <sheet name="fire" sheetId="45" state="hidden" r:id="rId36"/>
    <sheet name="misalenous" sheetId="35" state="hidden" r:id="rId37"/>
    <sheet name="L.toilet" sheetId="38" state="hidden" r:id="rId38"/>
    <sheet name="lps" sheetId="57" state="hidden" r:id="rId39"/>
    <sheet name="cctv" sheetId="58" state="hidden" r:id="rId40"/>
    <sheet name="TS" sheetId="60" state="hidden" r:id="rId41"/>
    <sheet name="retaining wall" sheetId="49" state="hidden" r:id="rId42"/>
    <sheet name="Sheet3" sheetId="34" state="hidden" r:id="rId43"/>
    <sheet name="Sheet2" sheetId="28" state="hidden" r:id="rId44"/>
    <sheet name="Sheet1" sheetId="11" state="hidden" r:id="rId45"/>
  </sheets>
  <externalReferences>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s>
  <definedNames>
    <definedName name="___REM1" localSheetId="3">#REF!</definedName>
    <definedName name="___REM1" localSheetId="17">#REF!</definedName>
    <definedName name="___REM1">#REF!</definedName>
    <definedName name="___REM2" localSheetId="17">#REF!</definedName>
    <definedName name="___REM2">#REF!</definedName>
    <definedName name="___Val101" localSheetId="17">#REF!</definedName>
    <definedName name="___Val101">#REF!</definedName>
    <definedName name="___Val102" localSheetId="17">#REF!</definedName>
    <definedName name="___Val102">#REF!</definedName>
    <definedName name="___Val201" localSheetId="17">#REF!</definedName>
    <definedName name="___Val201">#REF!</definedName>
    <definedName name="___Val202" localSheetId="17">#REF!</definedName>
    <definedName name="___Val202">#REF!</definedName>
    <definedName name="___Val301" localSheetId="17">#REF!</definedName>
    <definedName name="___Val301">#REF!</definedName>
    <definedName name="___Val302" localSheetId="17">#REF!</definedName>
    <definedName name="___Val302">#REF!</definedName>
    <definedName name="__123Graph_ACURRENT" localSheetId="13" hidden="1">[1]FitOutConfCentre!#REF!</definedName>
    <definedName name="__123Graph_ACURRENT" localSheetId="14" hidden="1">[1]FitOutConfCentre!#REF!</definedName>
    <definedName name="__123Graph_ACURRENT" localSheetId="20" hidden="1">[1]FitOutConfCentre!#REF!</definedName>
    <definedName name="__123Graph_ACURRENT" localSheetId="17" hidden="1">[1]FitOutConfCentre!#REF!</definedName>
    <definedName name="__123Graph_ACURRENT" localSheetId="12" hidden="1">[1]FitOutConfCentre!#REF!</definedName>
    <definedName name="__123Graph_ACURRENT" localSheetId="4" hidden="1">[1]FitOutConfCentre!#REF!</definedName>
    <definedName name="__123Graph_ACURRENT" localSheetId="10" hidden="1">[1]FitOutConfCentre!#REF!</definedName>
    <definedName name="__123Graph_ACURRENT" hidden="1">[1]FitOutConfCentre!#REF!</definedName>
    <definedName name="__IntlFixup" hidden="1">TRUE</definedName>
    <definedName name="__REM1" localSheetId="17">#REF!</definedName>
    <definedName name="__REM1">#REF!</definedName>
    <definedName name="__REM2" localSheetId="17">#REF!</definedName>
    <definedName name="__REM2">#REF!</definedName>
    <definedName name="__Val101" localSheetId="17">#REF!</definedName>
    <definedName name="__Val101">#REF!</definedName>
    <definedName name="__Val102" localSheetId="17">#REF!</definedName>
    <definedName name="__Val102">#REF!</definedName>
    <definedName name="__Val201" localSheetId="17">#REF!</definedName>
    <definedName name="__Val201">#REF!</definedName>
    <definedName name="__Val202" localSheetId="17">#REF!</definedName>
    <definedName name="__Val202">#REF!</definedName>
    <definedName name="__Val301" localSheetId="17">#REF!</definedName>
    <definedName name="__Val301">#REF!</definedName>
    <definedName name="__Val302" localSheetId="17">#REF!</definedName>
    <definedName name="__Val302">#REF!</definedName>
    <definedName name="_xlnm._FilterDatabase" localSheetId="19" hidden="1">roof!$A$1:$D$7</definedName>
    <definedName name="_xlnm._FilterDatabase" localSheetId="29" hidden="1">'steel work'!$A$1:$D$57</definedName>
    <definedName name="_REM1" localSheetId="3">#REF!</definedName>
    <definedName name="_REM1" localSheetId="17">#REF!</definedName>
    <definedName name="_REM1">#REF!</definedName>
    <definedName name="_REM2" localSheetId="3">#REF!</definedName>
    <definedName name="_REM2" localSheetId="17">#REF!</definedName>
    <definedName name="_REM2">#REF!</definedName>
    <definedName name="_Val101" localSheetId="3">#REF!</definedName>
    <definedName name="_Val101" localSheetId="17">#REF!</definedName>
    <definedName name="_Val101">#REF!</definedName>
    <definedName name="_Val102" localSheetId="17">#REF!</definedName>
    <definedName name="_Val102">#REF!</definedName>
    <definedName name="_Val201" localSheetId="17">#REF!</definedName>
    <definedName name="_Val201">#REF!</definedName>
    <definedName name="_Val202" localSheetId="17">#REF!</definedName>
    <definedName name="_Val202">#REF!</definedName>
    <definedName name="_Val301" localSheetId="17">#REF!</definedName>
    <definedName name="_Val301">#REF!</definedName>
    <definedName name="_Val302" localSheetId="17">#REF!</definedName>
    <definedName name="_Val302">#REF!</definedName>
    <definedName name="a" localSheetId="13">'[2]B-3.2 EB'!#REF!</definedName>
    <definedName name="A" localSheetId="21">#REF!</definedName>
    <definedName name="a" localSheetId="14">'[2]B-3.2 EB'!#REF!</definedName>
    <definedName name="a" localSheetId="20">'[2]B-3.2 EB'!#REF!</definedName>
    <definedName name="a" localSheetId="17">'[2]B-3.2 EB'!#REF!</definedName>
    <definedName name="a" localSheetId="12">'[2]B-3.2 EB'!#REF!</definedName>
    <definedName name="a" localSheetId="4">'[2]B-3.2 EB'!#REF!</definedName>
    <definedName name="a" localSheetId="10">'[2]B-3.2 EB'!#REF!</definedName>
    <definedName name="a">'[2]B-3.2 EB'!#REF!</definedName>
    <definedName name="aa" localSheetId="3">#REF!</definedName>
    <definedName name="aa" localSheetId="21">#REF!</definedName>
    <definedName name="aa" localSheetId="17">#REF!</definedName>
    <definedName name="aa">#REF!</definedName>
    <definedName name="aaa" localSheetId="3">#REF!</definedName>
    <definedName name="aaa" localSheetId="17">#REF!</definedName>
    <definedName name="aaa">#REF!</definedName>
    <definedName name="ad" localSheetId="13">'[2]B-3.2 EB'!#REF!</definedName>
    <definedName name="ad" localSheetId="14">'[2]B-3.2 EB'!#REF!</definedName>
    <definedName name="ad" localSheetId="20">'[2]B-3.2 EB'!#REF!</definedName>
    <definedName name="ad" localSheetId="17">'[2]B-3.2 EB'!#REF!</definedName>
    <definedName name="ad" localSheetId="12">'[2]B-3.2 EB'!#REF!</definedName>
    <definedName name="ad" localSheetId="4">'[2]B-3.2 EB'!#REF!</definedName>
    <definedName name="ad" localSheetId="10">'[2]B-3.2 EB'!#REF!</definedName>
    <definedName name="ad">'[2]B-3.2 EB'!#REF!</definedName>
    <definedName name="Anton" localSheetId="3">#REF!</definedName>
    <definedName name="Anton" localSheetId="21">#REF!</definedName>
    <definedName name="Anton" localSheetId="17">#REF!</definedName>
    <definedName name="Anton">#REF!</definedName>
    <definedName name="as" localSheetId="3">#REF!</definedName>
    <definedName name="as" localSheetId="17">#REF!</definedName>
    <definedName name="as">#REF!</definedName>
    <definedName name="asgsdfg" localSheetId="17">#REF!</definedName>
    <definedName name="asgsdfg">#REF!</definedName>
    <definedName name="b" localSheetId="17">'[2]B-3.2 EB'!#REF!</definedName>
    <definedName name="b">'[2]B-3.2 EB'!#REF!</definedName>
    <definedName name="b.two">[3]Sheet1!$E$497</definedName>
    <definedName name="B_10_10" localSheetId="17">'[4]Bill 3 - Site Works'!#REF!</definedName>
    <definedName name="B_10_10">'[4]Bill 3 - Site Works'!#REF!</definedName>
    <definedName name="B_10_11A" localSheetId="17">'[4]Bill 3 - Site Works'!#REF!</definedName>
    <definedName name="B_10_11A">'[4]Bill 3 - Site Works'!#REF!</definedName>
    <definedName name="B_10_11B" localSheetId="17">'[4]Bill 3 - Site Works'!#REF!</definedName>
    <definedName name="B_10_11B">'[4]Bill 3 - Site Works'!#REF!</definedName>
    <definedName name="B_10_12" localSheetId="17">'[4]Bill 3 - Site Works'!#REF!</definedName>
    <definedName name="B_10_12">'[4]Bill 3 - Site Works'!#REF!</definedName>
    <definedName name="B_10_13" localSheetId="17">'[4]Bill 3 - Site Works'!#REF!</definedName>
    <definedName name="B_10_13">'[4]Bill 3 - Site Works'!#REF!</definedName>
    <definedName name="B_10_14" localSheetId="17">'[4]Bill 3 - Site Works'!#REF!</definedName>
    <definedName name="B_10_14">'[4]Bill 3 - Site Works'!#REF!</definedName>
    <definedName name="B_10_2" localSheetId="17">'[4]Bill 3 - Site Works'!#REF!</definedName>
    <definedName name="B_10_2">'[4]Bill 3 - Site Works'!#REF!</definedName>
    <definedName name="B_10_3" localSheetId="17">'[4]Bill 3 - Site Works'!#REF!</definedName>
    <definedName name="B_10_3">'[4]Bill 3 - Site Works'!#REF!</definedName>
    <definedName name="B_10_4" localSheetId="17">'[4]Bill 3 - Site Works'!#REF!</definedName>
    <definedName name="B_10_4">'[4]Bill 3 - Site Works'!#REF!</definedName>
    <definedName name="B_10_5" localSheetId="17">'[4]Bill 3 - Site Works'!#REF!</definedName>
    <definedName name="B_10_5">'[4]Bill 3 - Site Works'!#REF!</definedName>
    <definedName name="B_10_6" localSheetId="17">'[4]Bill 3 - Site Works'!#REF!</definedName>
    <definedName name="B_10_6">'[4]Bill 3 - Site Works'!#REF!</definedName>
    <definedName name="B_10_7A" localSheetId="17">'[4]Bill 3 - Site Works'!#REF!</definedName>
    <definedName name="B_10_7A">'[4]Bill 3 - Site Works'!#REF!</definedName>
    <definedName name="B_10_8A" localSheetId="17">'[4]Bill 3 - Site Works'!#REF!</definedName>
    <definedName name="B_10_8A">'[4]Bill 3 - Site Works'!#REF!</definedName>
    <definedName name="B_10_9" localSheetId="17">'[4]Bill 3 - Site Works'!#REF!</definedName>
    <definedName name="B_10_9">'[4]Bill 3 - Site Works'!#REF!</definedName>
    <definedName name="B107A" localSheetId="17">'[4]Bill 3 - Site Works'!#REF!</definedName>
    <definedName name="B107A">'[4]Bill 3 - Site Works'!#REF!</definedName>
    <definedName name="BB" localSheetId="3">#REF!</definedName>
    <definedName name="BB" localSheetId="17">#REF!</definedName>
    <definedName name="BB">#REF!</definedName>
    <definedName name="bbb" localSheetId="3">#REF!</definedName>
    <definedName name="bbb" localSheetId="17">#REF!</definedName>
    <definedName name="bbb">#REF!</definedName>
    <definedName name="bhhbhj" localSheetId="3">#REF!</definedName>
    <definedName name="bhhbhj" localSheetId="17">#REF!</definedName>
    <definedName name="bhhbhj">#REF!</definedName>
    <definedName name="Bill" localSheetId="17">#REF!</definedName>
    <definedName name="Bill">#REF!</definedName>
    <definedName name="bill1" localSheetId="17">#REF!</definedName>
    <definedName name="bill1">#REF!</definedName>
    <definedName name="C_" localSheetId="13">#REF!</definedName>
    <definedName name="C_" localSheetId="14">#REF!</definedName>
    <definedName name="C_" localSheetId="20">#REF!</definedName>
    <definedName name="C_" localSheetId="17">#REF!</definedName>
    <definedName name="C_" localSheetId="12">#REF!</definedName>
    <definedName name="C_" localSheetId="4">#REF!</definedName>
    <definedName name="C_" localSheetId="10">#REF!</definedName>
    <definedName name="C_">#REF!</definedName>
    <definedName name="CApentry" localSheetId="17">#REF!</definedName>
    <definedName name="CApentry">#REF!</definedName>
    <definedName name="cc" localSheetId="17">#REF!</definedName>
    <definedName name="cc">#REF!</definedName>
    <definedName name="CoolingCapacity">'[5]Room Type'!$O$3</definedName>
    <definedName name="COP">'[5]Room Type'!$O$2</definedName>
    <definedName name="_xlnm.Criteria" localSheetId="13">#REF!</definedName>
    <definedName name="_xlnm.Criteria" localSheetId="3">#REF!</definedName>
    <definedName name="_xlnm.Criteria" localSheetId="14">#REF!</definedName>
    <definedName name="_xlnm.Criteria" localSheetId="20">#REF!</definedName>
    <definedName name="_xlnm.Criteria" localSheetId="17">#REF!</definedName>
    <definedName name="_xlnm.Criteria" localSheetId="12">#REF!</definedName>
    <definedName name="_xlnm.Criteria" localSheetId="4">#REF!</definedName>
    <definedName name="_xlnm.Criteria" localSheetId="10">#REF!</definedName>
    <definedName name="_xlnm.Criteria">#REF!</definedName>
    <definedName name="d" localSheetId="13">'[6]B-3'!#REF!</definedName>
    <definedName name="d" localSheetId="3">'[6]B-3'!#REF!</definedName>
    <definedName name="d" localSheetId="14">'[6]B-3'!#REF!</definedName>
    <definedName name="d" localSheetId="20">'[6]B-3'!#REF!</definedName>
    <definedName name="d" localSheetId="17">'[6]B-3'!#REF!</definedName>
    <definedName name="d" localSheetId="12">'[6]B-3'!#REF!</definedName>
    <definedName name="d" localSheetId="4">'[6]B-3'!#REF!</definedName>
    <definedName name="d" localSheetId="10">'[6]B-3'!#REF!</definedName>
    <definedName name="d">'[6]B-3'!#REF!</definedName>
    <definedName name="d.six">[3]Sheet1!$E$1355</definedName>
    <definedName name="d.two">[3]Sheet1!$E$1317</definedName>
    <definedName name="_xlnm.Database" localSheetId="13">#REF!</definedName>
    <definedName name="_xlnm.Database" localSheetId="3">#REF!</definedName>
    <definedName name="_xlnm.Database" localSheetId="14">#REF!</definedName>
    <definedName name="_xlnm.Database" localSheetId="20">#REF!</definedName>
    <definedName name="_xlnm.Database" localSheetId="17">#REF!</definedName>
    <definedName name="_xlnm.Database" localSheetId="12">#REF!</definedName>
    <definedName name="_xlnm.Database" localSheetId="4">#REF!</definedName>
    <definedName name="_xlnm.Database" localSheetId="10">#REF!</definedName>
    <definedName name="_xlnm.Database">#REF!</definedName>
    <definedName name="dddddd" localSheetId="17">#REF!</definedName>
    <definedName name="dddddd">#REF!</definedName>
    <definedName name="ddikkkk" localSheetId="17">#REF!</definedName>
    <definedName name="ddikkkk">#REF!</definedName>
    <definedName name="Desc01" localSheetId="17">#REF!</definedName>
    <definedName name="Desc01">#REF!</definedName>
    <definedName name="Desc02" localSheetId="17">#REF!</definedName>
    <definedName name="Desc02">#REF!</definedName>
    <definedName name="DFASDFDF" localSheetId="17">#REF!</definedName>
    <definedName name="DFASDFDF">#REF!</definedName>
    <definedName name="drrn" localSheetId="17">#REF!</definedName>
    <definedName name="drrn">#REF!</definedName>
    <definedName name="dsdf" localSheetId="13">#REF!</definedName>
    <definedName name="dsdf" localSheetId="14">#REF!</definedName>
    <definedName name="dsdf" localSheetId="20">#REF!</definedName>
    <definedName name="dsdf" localSheetId="17">#REF!</definedName>
    <definedName name="dsdf" localSheetId="12">#REF!</definedName>
    <definedName name="dsdf" localSheetId="4">#REF!</definedName>
    <definedName name="dsdf" localSheetId="10">#REF!</definedName>
    <definedName name="dsdf">#REF!</definedName>
    <definedName name="DVD" localSheetId="17">'[4]Bill 3 - Site Works'!#REF!</definedName>
    <definedName name="DVD">'[4]Bill 3 - Site Works'!#REF!</definedName>
    <definedName name="e" localSheetId="3">#REF!</definedName>
    <definedName name="e" localSheetId="17">#REF!</definedName>
    <definedName name="e">#REF!</definedName>
    <definedName name="e.one">[3]Sheet1!$E$1459</definedName>
    <definedName name="edfewe" localSheetId="13">'[7]B-3.2 EB'!#REF!</definedName>
    <definedName name="edfewe" localSheetId="3">'[7]B-3.2 EB'!#REF!</definedName>
    <definedName name="edfewe" localSheetId="14">'[7]B-3.2 EB'!#REF!</definedName>
    <definedName name="edfewe" localSheetId="20">'[7]B-3.2 EB'!#REF!</definedName>
    <definedName name="edfewe" localSheetId="17">'[7]B-3.2 EB'!#REF!</definedName>
    <definedName name="edfewe" localSheetId="12">'[7]B-3.2 EB'!#REF!</definedName>
    <definedName name="edfewe" localSheetId="4">'[7]B-3.2 EB'!#REF!</definedName>
    <definedName name="edfewe" localSheetId="10">'[7]B-3.2 EB'!#REF!</definedName>
    <definedName name="edfewe">'[7]B-3.2 EB'!#REF!</definedName>
    <definedName name="Edited" localSheetId="3">#REF!</definedName>
    <definedName name="Edited" localSheetId="17">#REF!</definedName>
    <definedName name="Edited">#REF!</definedName>
    <definedName name="eee" localSheetId="13" hidden="1">[1]FitOutConfCentre!#REF!</definedName>
    <definedName name="eee" localSheetId="3" hidden="1">[1]FitOutConfCentre!#REF!</definedName>
    <definedName name="eee" localSheetId="14" hidden="1">[1]FitOutConfCentre!#REF!</definedName>
    <definedName name="eee" localSheetId="20" hidden="1">[1]FitOutConfCentre!#REF!</definedName>
    <definedName name="eee" localSheetId="17" hidden="1">[1]FitOutConfCentre!#REF!</definedName>
    <definedName name="eee" localSheetId="12" hidden="1">[1]FitOutConfCentre!#REF!</definedName>
    <definedName name="eee" localSheetId="4" hidden="1">[1]FitOutConfCentre!#REF!</definedName>
    <definedName name="eee" localSheetId="10" hidden="1">[1]FitOutConfCentre!#REF!</definedName>
    <definedName name="eee" hidden="1">[1]FitOutConfCentre!#REF!</definedName>
    <definedName name="eeye5y" localSheetId="3">#REF!</definedName>
    <definedName name="eeye5y" localSheetId="17">#REF!</definedName>
    <definedName name="eeye5y">#REF!</definedName>
    <definedName name="EURO" localSheetId="3">#REF!</definedName>
    <definedName name="EURO" localSheetId="17">#REF!</definedName>
    <definedName name="EURO">#REF!</definedName>
    <definedName name="EURO_USD" localSheetId="17">#REF!</definedName>
    <definedName name="EURO_USD">#REF!</definedName>
    <definedName name="ewf" localSheetId="13">#REF!</definedName>
    <definedName name="ewf" localSheetId="14">#REF!</definedName>
    <definedName name="ewf" localSheetId="20">#REF!</definedName>
    <definedName name="ewf" localSheetId="17">#REF!</definedName>
    <definedName name="ewf" localSheetId="12">#REF!</definedName>
    <definedName name="ewf" localSheetId="4">#REF!</definedName>
    <definedName name="ewf" localSheetId="10">#REF!</definedName>
    <definedName name="ewf">#REF!</definedName>
    <definedName name="_xlnm.Extract" localSheetId="13">#REF!</definedName>
    <definedName name="_xlnm.Extract" localSheetId="14">#REF!</definedName>
    <definedName name="_xlnm.Extract" localSheetId="20">#REF!</definedName>
    <definedName name="_xlnm.Extract" localSheetId="17">#REF!</definedName>
    <definedName name="_xlnm.Extract" localSheetId="12">#REF!</definedName>
    <definedName name="_xlnm.Extract" localSheetId="4">#REF!</definedName>
    <definedName name="_xlnm.Extract" localSheetId="10">#REF!</definedName>
    <definedName name="_xlnm.Extract">#REF!</definedName>
    <definedName name="f" localSheetId="17">#REF!</definedName>
    <definedName name="f">#REF!</definedName>
    <definedName name="FD" localSheetId="17">#REF!</definedName>
    <definedName name="FD">#REF!</definedName>
    <definedName name="FDF" localSheetId="17">#REF!</definedName>
    <definedName name="FDF">#REF!</definedName>
    <definedName name="FDFF" localSheetId="17">#REF!</definedName>
    <definedName name="FDFF">#REF!</definedName>
    <definedName name="fdfsd" localSheetId="17">#REF!</definedName>
    <definedName name="fdfsd">#REF!</definedName>
    <definedName name="fdghhh" localSheetId="17">'[4]Bill 3 - Site Works'!#REF!</definedName>
    <definedName name="fdghhh">'[4]Bill 3 - Site Works'!#REF!</definedName>
    <definedName name="fesf" localSheetId="3">#REF!</definedName>
    <definedName name="fesf" localSheetId="17">#REF!</definedName>
    <definedName name="fesf">#REF!</definedName>
    <definedName name="fg" localSheetId="3">#REF!</definedName>
    <definedName name="fg" localSheetId="17">#REF!</definedName>
    <definedName name="fg">#REF!</definedName>
    <definedName name="fgrthrtg" localSheetId="3">#REF!</definedName>
    <definedName name="fgrthrtg" localSheetId="17">#REF!</definedName>
    <definedName name="fgrthrtg">#REF!</definedName>
    <definedName name="FORM" localSheetId="17">#REF!</definedName>
    <definedName name="FORM">#REF!</definedName>
    <definedName name="formula_1">"#NAME!()"</definedName>
    <definedName name="fred" localSheetId="3">#REF!</definedName>
    <definedName name="fred" localSheetId="17">#REF!</definedName>
    <definedName name="fred">#REF!</definedName>
    <definedName name="FREIGHT" localSheetId="3">#REF!</definedName>
    <definedName name="FREIGHT" localSheetId="17">#REF!</definedName>
    <definedName name="FREIGHT">#REF!</definedName>
    <definedName name="frt" localSheetId="3">#REF!</definedName>
    <definedName name="frt" localSheetId="17">#REF!</definedName>
    <definedName name="frt">#REF!</definedName>
    <definedName name="g" localSheetId="17">#REF!</definedName>
    <definedName name="g">#REF!</definedName>
    <definedName name="g.seventeen">[3]Sheet1!$E$2173</definedName>
    <definedName name="gdsd" localSheetId="3">#REF!</definedName>
    <definedName name="gdsd" localSheetId="17">#REF!</definedName>
    <definedName name="gdsd">#REF!</definedName>
    <definedName name="gg" localSheetId="3">#REF!</definedName>
    <definedName name="gg" localSheetId="17">#REF!</definedName>
    <definedName name="gg">#REF!</definedName>
    <definedName name="globref">INDIRECT("rc",FALSE)</definedName>
    <definedName name="GTOT" localSheetId="17">#REF!</definedName>
    <definedName name="GTOT">#REF!</definedName>
    <definedName name="H" localSheetId="13">#REF!</definedName>
    <definedName name="H" localSheetId="14">#REF!</definedName>
    <definedName name="H" localSheetId="20">#REF!</definedName>
    <definedName name="H" localSheetId="17">#REF!</definedName>
    <definedName name="H" localSheetId="12">#REF!</definedName>
    <definedName name="H" localSheetId="4">#REF!</definedName>
    <definedName name="H" localSheetId="10">#REF!</definedName>
    <definedName name="H">#REF!</definedName>
    <definedName name="h.thirtyone">[3]Sheet1!$E$3136</definedName>
    <definedName name="hh">'[8]Material Prices'!$A$5:'[8]Material Prices'!$A$5:$F$65536</definedName>
    <definedName name="hhhhhhhhhhhhhhhhhhhh" localSheetId="13">#REF!</definedName>
    <definedName name="hhhhhhhhhhhhhhhhhhhh" localSheetId="3">#REF!</definedName>
    <definedName name="hhhhhhhhhhhhhhhhhhhh" localSheetId="14">#REF!</definedName>
    <definedName name="hhhhhhhhhhhhhhhhhhhh" localSheetId="20">#REF!</definedName>
    <definedName name="hhhhhhhhhhhhhhhhhhhh" localSheetId="17">#REF!</definedName>
    <definedName name="hhhhhhhhhhhhhhhhhhhh" localSheetId="12">#REF!</definedName>
    <definedName name="hhhhhhhhhhhhhhhhhhhh" localSheetId="4">#REF!</definedName>
    <definedName name="hhhhhhhhhhhhhhhhhhhh" localSheetId="10">#REF!</definedName>
    <definedName name="hhhhhhhhhhhhhhhhhhhh">#REF!</definedName>
    <definedName name="hi">'[8]Material Prices'!$A$5:'[8]Material Prices'!$A$5:$F$65536</definedName>
    <definedName name="I" localSheetId="13">#REF!</definedName>
    <definedName name="I" localSheetId="3">#REF!</definedName>
    <definedName name="I" localSheetId="14">#REF!</definedName>
    <definedName name="I" localSheetId="20">#REF!</definedName>
    <definedName name="I" localSheetId="17">#REF!</definedName>
    <definedName name="I" localSheetId="12">#REF!</definedName>
    <definedName name="I" localSheetId="4">#REF!</definedName>
    <definedName name="I" localSheetId="10">#REF!</definedName>
    <definedName name="I">#REF!</definedName>
    <definedName name="InsD1" localSheetId="17">#REF!</definedName>
    <definedName name="InsD1">#REF!</definedName>
    <definedName name="InsD2" localSheetId="17">#REF!</definedName>
    <definedName name="InsD2">#REF!</definedName>
    <definedName name="io">'[8]Material Prices'!$A$5:'[8]Material Prices'!$A$5:$F$65536</definedName>
    <definedName name="Item" localSheetId="3">#REF!</definedName>
    <definedName name="Item" localSheetId="17">#REF!</definedName>
    <definedName name="Item">#REF!</definedName>
    <definedName name="j" localSheetId="3">#REF!</definedName>
    <definedName name="j" localSheetId="17">#REF!</definedName>
    <definedName name="j">#REF!</definedName>
    <definedName name="ji">'[9]Material Prices'!$A$5:'[9]Material Prices'!$A$5:$F$65536</definedName>
    <definedName name="jjdd" localSheetId="13">#REF!</definedName>
    <definedName name="jjdd" localSheetId="3">#REF!</definedName>
    <definedName name="jjdd" localSheetId="14">#REF!</definedName>
    <definedName name="jjdd" localSheetId="20">#REF!</definedName>
    <definedName name="jjdd" localSheetId="17">#REF!</definedName>
    <definedName name="jjdd" localSheetId="12">#REF!</definedName>
    <definedName name="jjdd" localSheetId="4">#REF!</definedName>
    <definedName name="jjdd" localSheetId="10">#REF!</definedName>
    <definedName name="jjdd">#REF!</definedName>
    <definedName name="job.no" hidden="1">[10]Database!$C$6:$C$26</definedName>
    <definedName name="joinery" localSheetId="3">#REF!</definedName>
    <definedName name="joinery" localSheetId="17">#REF!</definedName>
    <definedName name="joinery">#REF!</definedName>
    <definedName name="k" localSheetId="3">#REF!</definedName>
    <definedName name="k" localSheetId="17">#REF!</definedName>
    <definedName name="k">#REF!</definedName>
    <definedName name="k.nineteen">[3]Sheet1!$E$1881</definedName>
    <definedName name="k.six">[3]Sheet1!$E$1814</definedName>
    <definedName name="l" localSheetId="3">#REF!</definedName>
    <definedName name="l" localSheetId="17">#REF!</definedName>
    <definedName name="l">#REF!</definedName>
    <definedName name="list" localSheetId="3">#REF!</definedName>
    <definedName name="list" localSheetId="17">#REF!</definedName>
    <definedName name="list">#REF!</definedName>
    <definedName name="M" localSheetId="31">'[11]B-2'!$J$1</definedName>
    <definedName name="m" localSheetId="21">#REF!</definedName>
    <definedName name="M">'[12]B-2'!$J$1</definedName>
    <definedName name="MD" localSheetId="3">#REF!</definedName>
    <definedName name="MD" localSheetId="17">#REF!</definedName>
    <definedName name="MD">#REF!</definedName>
    <definedName name="MF" localSheetId="3">#REF!</definedName>
    <definedName name="MF" localSheetId="17">#REF!</definedName>
    <definedName name="MF">#REF!</definedName>
    <definedName name="MFeq" localSheetId="3">#REF!</definedName>
    <definedName name="MFeq" localSheetId="17">#REF!</definedName>
    <definedName name="MFeq">#REF!</definedName>
    <definedName name="mhgg" localSheetId="21">#REF!</definedName>
    <definedName name="mhgg" localSheetId="17">#REF!</definedName>
    <definedName name="mhgg">#REF!</definedName>
    <definedName name="mk" localSheetId="17">#REF!</definedName>
    <definedName name="mk">#REF!</definedName>
    <definedName name="MP">'[13]Material Prices'!$A$5:'[13]Material Prices'!$A$5:$F$65536</definedName>
    <definedName name="n" localSheetId="3">#REF!</definedName>
    <definedName name="n" localSheetId="21">#REF!</definedName>
    <definedName name="n" localSheetId="17">#REF!</definedName>
    <definedName name="n">#REF!</definedName>
    <definedName name="nn" localSheetId="3">#REF!</definedName>
    <definedName name="nn" localSheetId="17">#REF!</definedName>
    <definedName name="nn">#REF!</definedName>
    <definedName name="oh" localSheetId="13">#REF!</definedName>
    <definedName name="oh" localSheetId="14">#REF!</definedName>
    <definedName name="oh" localSheetId="20">#REF!</definedName>
    <definedName name="oh" localSheetId="17">#REF!</definedName>
    <definedName name="oh" localSheetId="12">#REF!</definedName>
    <definedName name="oh" localSheetId="4">#REF!</definedName>
    <definedName name="oh" localSheetId="10">#REF!</definedName>
    <definedName name="oh">#REF!</definedName>
    <definedName name="ooo" localSheetId="13">'[14]B-3'!#REF!</definedName>
    <definedName name="ooo" localSheetId="14">'[14]B-3'!#REF!</definedName>
    <definedName name="ooo" localSheetId="20">'[14]B-3'!#REF!</definedName>
    <definedName name="ooo" localSheetId="17">'[14]B-3'!#REF!</definedName>
    <definedName name="ooo" localSheetId="12">'[14]B-3'!#REF!</definedName>
    <definedName name="ooo" localSheetId="4">'[14]B-3'!#REF!</definedName>
    <definedName name="ooo" localSheetId="10">'[14]B-3'!#REF!</definedName>
    <definedName name="ooo">'[14]B-3'!#REF!</definedName>
    <definedName name="p" localSheetId="17">'[2]B-3.2 EB'!#REF!</definedName>
    <definedName name="p">'[2]B-3.2 EB'!#REF!</definedName>
    <definedName name="PackageName">'[15]cover page'!$E$13</definedName>
    <definedName name="pf">'[5]Basement2 DB'!$M$2</definedName>
    <definedName name="PG" localSheetId="3">#REF!</definedName>
    <definedName name="PG" localSheetId="17">#REF!</definedName>
    <definedName name="PG">#REF!</definedName>
    <definedName name="pp">'[9]Material Prices'!$A$5:'[9]Material Prices'!$A$5:$F$65536</definedName>
    <definedName name="ppp" localSheetId="13">'[7]B-3.2 EB'!#REF!</definedName>
    <definedName name="ppp" localSheetId="3">'[7]B-3.2 EB'!#REF!</definedName>
    <definedName name="ppp" localSheetId="14">'[7]B-3.2 EB'!#REF!</definedName>
    <definedName name="ppp" localSheetId="17">'[7]B-3.2 EB'!#REF!</definedName>
    <definedName name="ppp" localSheetId="12">'[7]B-3.2 EB'!#REF!</definedName>
    <definedName name="ppp" localSheetId="10">'[7]B-3.2 EB'!#REF!</definedName>
    <definedName name="ppp">'[7]B-3.2 EB'!#REF!</definedName>
    <definedName name="PRELIM" localSheetId="3">#REF!</definedName>
    <definedName name="PRELIM" localSheetId="17">#REF!</definedName>
    <definedName name="PRELIM">#REF!</definedName>
    <definedName name="prepared.by" hidden="1">[10]Database!$D$6:$D$26</definedName>
    <definedName name="_xlnm.Print_Area" localSheetId="31">'BOQ-Electrical System'!$A$1:$F$641</definedName>
    <definedName name="_xlnm.Print_Area" localSheetId="6">concrete!$A$1:$H$139</definedName>
    <definedName name="_xlnm.Print_Area" localSheetId="32">electicle!$A$1:$F$339</definedName>
    <definedName name="_xlnm.Print_Area" localSheetId="13">'electicle '!$A$1:$H$174</definedName>
    <definedName name="_xlnm.Print_Area" localSheetId="5">exca!$A$1:$H$39</definedName>
    <definedName name="_xlnm.Print_Area" localSheetId="35">fire!$A$1:$F$29</definedName>
    <definedName name="_xlnm.Print_Area" localSheetId="8">floring!$A$1:$H$11</definedName>
    <definedName name="_xlnm.Print_Area" localSheetId="0">front!$A$1:$G$49</definedName>
    <definedName name="_xlnm.Print_Area" localSheetId="1">'grnd summry- tender'!$A$1:$C$25</definedName>
    <definedName name="_xlnm.Print_Area" localSheetId="37">L.toilet!$A$1:$F$236</definedName>
    <definedName name="_xlnm.Print_Area" localSheetId="38">lps!$A$1:$F$134</definedName>
    <definedName name="_xlnm.Print_Area" localSheetId="22">'m shet Miss premila'!$A$1:$O$606</definedName>
    <definedName name="_xlnm.Print_Area" localSheetId="34">machncle!$A$1:$F$19</definedName>
    <definedName name="_xlnm.Print_Area" localSheetId="3">'Main sum'!$A$1:$E$50</definedName>
    <definedName name="_xlnm.Print_Area" localSheetId="7">masnry!$A$1:$H$28</definedName>
    <definedName name="_xlnm.Print_Area" localSheetId="21">Material!$A$1:$F$163</definedName>
    <definedName name="_xlnm.Print_Area" localSheetId="14">'metal '!$A$1:$H$105</definedName>
    <definedName name="_xlnm.Print_Area" localSheetId="20">mis!$A$1:$H$7</definedName>
    <definedName name="_xlnm.Print_Area" localSheetId="36">misalenous!$A$1:$F$27</definedName>
    <definedName name="_xlnm.Print_Area" localSheetId="11">paint!$A$1:$H$26</definedName>
    <definedName name="_xlnm.Print_Area" localSheetId="17">Pantry!$A$1:$H$16</definedName>
    <definedName name="_xlnm.Print_Area" localSheetId="9">plastering!$A$1:$H$56</definedName>
    <definedName name="_xlnm.Print_Area" localSheetId="12">'plumbing '!$A$1:$H$216</definedName>
    <definedName name="_xlnm.Print_Area" localSheetId="16">Pool!$A$1:$H$55</definedName>
    <definedName name="_xlnm.Print_Area" localSheetId="4">prelims!$A$1:$I$105</definedName>
    <definedName name="_xlnm.Print_Area" localSheetId="41">'retaining wall'!$A$1:$F$61</definedName>
    <definedName name="_xlnm.Print_Area" localSheetId="19">roof!$A$1:$H$7</definedName>
    <definedName name="_xlnm.Print_Area" localSheetId="29">'steel work'!$A$1:$F$57</definedName>
    <definedName name="_xlnm.Print_Area" localSheetId="2">summary!$A$1:$C$21</definedName>
    <definedName name="_xlnm.Print_Area" localSheetId="10">tile!$A$1:$H$115</definedName>
    <definedName name="_xlnm.Print_Area" localSheetId="28">'Timber doors'!$A$1:$F$64</definedName>
    <definedName name="_xlnm.Print_Area" localSheetId="40">TS!$A$1:$F$111</definedName>
    <definedName name="_xlnm.Print_Area" localSheetId="15">waterprof!$A$1:$H$20</definedName>
    <definedName name="_xlnm.Print_Area">#REF!</definedName>
    <definedName name="PRINT_AREA_MI" localSheetId="21">#N/A</definedName>
    <definedName name="PRINT_AREA_MI">#N/A</definedName>
    <definedName name="_xlnm.Print_Titles" localSheetId="31">'BOQ-Electrical System'!$1:$5</definedName>
    <definedName name="_xlnm.Print_Titles" localSheetId="6">concrete!$1:$1</definedName>
    <definedName name="_xlnm.Print_Titles" localSheetId="13">'electicle '!$1:$1</definedName>
    <definedName name="_xlnm.Print_Titles" localSheetId="5">exca!$1:$1</definedName>
    <definedName name="_xlnm.Print_Titles" localSheetId="3">#REF!</definedName>
    <definedName name="_xlnm.Print_Titles" localSheetId="21">#REF!</definedName>
    <definedName name="_xlnm.Print_Titles" localSheetId="14">'metal '!$1:$2</definedName>
    <definedName name="_xlnm.Print_Titles" localSheetId="20">#REF!</definedName>
    <definedName name="_xlnm.Print_Titles" localSheetId="17">Pantry!$1:$1</definedName>
    <definedName name="_xlnm.Print_Titles" localSheetId="9">plastering!$1:$1</definedName>
    <definedName name="_xlnm.Print_Titles" localSheetId="12">'plumbing '!$1:$1</definedName>
    <definedName name="_xlnm.Print_Titles" localSheetId="16">Pool!$1:$1</definedName>
    <definedName name="_xlnm.Print_Titles" localSheetId="19">roof!$1:$1</definedName>
    <definedName name="_xlnm.Print_Titles" localSheetId="29">'steel work'!$1:$1</definedName>
    <definedName name="_xlnm.Print_Titles" localSheetId="10">tile!$1:$1</definedName>
    <definedName name="_xlnm.Print_Titles">#REF!</definedName>
    <definedName name="PRINT_TITLES_MI" localSheetId="13">#REF!</definedName>
    <definedName name="PRINT_TITLES_MI" localSheetId="21">#REF!</definedName>
    <definedName name="PRINT_TITLES_MI" localSheetId="14">#REF!</definedName>
    <definedName name="PRINT_TITLES_MI" localSheetId="20">#REF!</definedName>
    <definedName name="PRINT_TITLES_MI" localSheetId="17">#REF!</definedName>
    <definedName name="PRINT_TITLES_MI" localSheetId="12">#REF!</definedName>
    <definedName name="PRINT_TITLES_MI" localSheetId="4">#REF!</definedName>
    <definedName name="PRINT_TITLES_MI" localSheetId="10">#REF!</definedName>
    <definedName name="PRINT_TITLES_MI">#REF!</definedName>
    <definedName name="qq">'[9]Material Prices'!$A$5:'[9]Material Prices'!$A$5:$F$65536</definedName>
    <definedName name="qqq" localSheetId="3">#REF!</definedName>
    <definedName name="qqq" localSheetId="17">#REF!</definedName>
    <definedName name="qqq">#REF!</definedName>
    <definedName name="range" hidden="1">[10]SCHEDULE!$AJ$10:$AJ$32</definedName>
    <definedName name="RAW" localSheetId="3">#REF!</definedName>
    <definedName name="RAW" localSheetId="17">#REF!</definedName>
    <definedName name="RAW">#REF!</definedName>
    <definedName name="rg" localSheetId="17">#REF!</definedName>
    <definedName name="rg">#REF!</definedName>
    <definedName name="s" localSheetId="3">#REF!</definedName>
    <definedName name="s" localSheetId="21">#REF!</definedName>
    <definedName name="s" localSheetId="17">[16]Ragama!#REF!</definedName>
    <definedName name="s">[16]Ragama!#REF!</definedName>
    <definedName name="Sascon" localSheetId="3">#REF!</definedName>
    <definedName name="Sascon" localSheetId="21">#REF!</definedName>
    <definedName name="Sascon" localSheetId="17">#REF!</definedName>
    <definedName name="Sascon">#REF!</definedName>
    <definedName name="schedule.nos" hidden="1">'[10]schedule nos'!$A$1:$A$99</definedName>
    <definedName name="sd" localSheetId="13">'[17]B-3'!#REF!</definedName>
    <definedName name="sd" localSheetId="3">'[17]B-3'!#REF!</definedName>
    <definedName name="sd" localSheetId="14">'[17]B-3'!#REF!</definedName>
    <definedName name="sd" localSheetId="20">'[17]B-3'!#REF!</definedName>
    <definedName name="sd" localSheetId="17">'[17]B-3'!#REF!</definedName>
    <definedName name="sd" localSheetId="12">'[17]B-3'!#REF!</definedName>
    <definedName name="sd" localSheetId="4">'[17]B-3'!#REF!</definedName>
    <definedName name="sd" localSheetId="10">'[17]B-3'!#REF!</definedName>
    <definedName name="sd">'[17]B-3'!#REF!</definedName>
    <definedName name="SEC" localSheetId="3">#REF!</definedName>
    <definedName name="SEC" localSheetId="17">#REF!</definedName>
    <definedName name="SEC">#REF!</definedName>
    <definedName name="SHIPPING" localSheetId="17">#REF!</definedName>
    <definedName name="SHIPPING">#REF!</definedName>
    <definedName name="site.ref" hidden="1">[10]Database!$B$6:$B$26</definedName>
    <definedName name="SLRS_USD" localSheetId="3">#REF!</definedName>
    <definedName name="SLRS_USD" localSheetId="17">#REF!</definedName>
    <definedName name="SLRS_USD">#REF!</definedName>
    <definedName name="Sum" localSheetId="13">#REF!</definedName>
    <definedName name="Sum" localSheetId="21">#REF!</definedName>
    <definedName name="Sum" localSheetId="14">#REF!</definedName>
    <definedName name="Sum" localSheetId="20">#REF!</definedName>
    <definedName name="Sum" localSheetId="17">#REF!</definedName>
    <definedName name="Sum" localSheetId="12">#REF!</definedName>
    <definedName name="Sum" localSheetId="4">#REF!</definedName>
    <definedName name="Sum" localSheetId="10">#REF!</definedName>
    <definedName name="Sum">#REF!</definedName>
    <definedName name="SupD1" localSheetId="21">#REF!</definedName>
    <definedName name="SupD1" localSheetId="17">#REF!</definedName>
    <definedName name="SupD1">#REF!</definedName>
    <definedName name="SupD2" localSheetId="21">#REF!</definedName>
    <definedName name="SupD2" localSheetId="17">#REF!</definedName>
    <definedName name="SupD2">#REF!</definedName>
    <definedName name="t" localSheetId="13">'[2]B-3.2 EB'!#REF!</definedName>
    <definedName name="t" localSheetId="14">'[2]B-3.2 EB'!#REF!</definedName>
    <definedName name="t" localSheetId="20">'[2]B-3.2 EB'!#REF!</definedName>
    <definedName name="t" localSheetId="17">'[2]B-3.2 EB'!#REF!</definedName>
    <definedName name="t" localSheetId="12">'[2]B-3.2 EB'!#REF!</definedName>
    <definedName name="t" localSheetId="4">'[2]B-3.2 EB'!#REF!</definedName>
    <definedName name="t" localSheetId="10">'[2]B-3.2 EB'!#REF!</definedName>
    <definedName name="t">'[2]B-3.2 EB'!#REF!</definedName>
    <definedName name="tfggt" localSheetId="13" hidden="1">[1]FitOutConfCentre!#REF!</definedName>
    <definedName name="tfggt" localSheetId="14" hidden="1">[1]FitOutConfCentre!#REF!</definedName>
    <definedName name="tfggt" localSheetId="20" hidden="1">[1]FitOutConfCentre!#REF!</definedName>
    <definedName name="tfggt" localSheetId="17" hidden="1">[1]FitOutConfCentre!#REF!</definedName>
    <definedName name="tfggt" localSheetId="12" hidden="1">[1]FitOutConfCentre!#REF!</definedName>
    <definedName name="tfggt" localSheetId="4" hidden="1">[1]FitOutConfCentre!#REF!</definedName>
    <definedName name="tfggt" localSheetId="10" hidden="1">[1]FitOutConfCentre!#REF!</definedName>
    <definedName name="tfggt" hidden="1">[1]FitOutConfCentre!#REF!</definedName>
    <definedName name="TTT" localSheetId="3" hidden="1">{#N/A,#N/A,TRUE,"PC &amp; PROV"}</definedName>
    <definedName name="TTT" hidden="1">{#N/A,#N/A,TRUE,"PC &amp; PROV"}</definedName>
    <definedName name="tttttt" localSheetId="17">#REF!</definedName>
    <definedName name="tttttt">#REF!</definedName>
    <definedName name="usd" localSheetId="17">#REF!</definedName>
    <definedName name="usd">#REF!</definedName>
    <definedName name="VariationNo">'[15]cover page'!$E$24</definedName>
    <definedName name="VCV" localSheetId="17">'[4]Bill 3 - Site Works'!#REF!</definedName>
    <definedName name="VCV">'[4]Bill 3 - Site Works'!#REF!</definedName>
    <definedName name="vgg" localSheetId="13">'[2]B-3.2 EB'!#REF!</definedName>
    <definedName name="vgg" localSheetId="3">'[2]B-3.2 EB'!#REF!</definedName>
    <definedName name="vgg" localSheetId="14">'[2]B-3.2 EB'!#REF!</definedName>
    <definedName name="vgg" localSheetId="17">'[2]B-3.2 EB'!#REF!</definedName>
    <definedName name="vgg" localSheetId="12">'[2]B-3.2 EB'!#REF!</definedName>
    <definedName name="vgg" localSheetId="10">'[2]B-3.2 EB'!#REF!</definedName>
    <definedName name="vgg">'[2]B-3.2 EB'!#REF!</definedName>
    <definedName name="w" localSheetId="13">'[2]B-3.2 EB'!#REF!</definedName>
    <definedName name="w" localSheetId="14">'[2]B-3.2 EB'!#REF!</definedName>
    <definedName name="w" localSheetId="17">'[2]B-3.2 EB'!#REF!</definedName>
    <definedName name="w" localSheetId="12">'[2]B-3.2 EB'!#REF!</definedName>
    <definedName name="w" localSheetId="10">'[2]B-3.2 EB'!#REF!</definedName>
    <definedName name="w">'[2]B-3.2 EB'!#REF!</definedName>
    <definedName name="wefe" localSheetId="13">#REF!</definedName>
    <definedName name="wefe" localSheetId="3">#REF!</definedName>
    <definedName name="wefe" localSheetId="14">#REF!</definedName>
    <definedName name="wefe" localSheetId="20">#REF!</definedName>
    <definedName name="wefe" localSheetId="17">#REF!</definedName>
    <definedName name="wefe" localSheetId="12">#REF!</definedName>
    <definedName name="wefe" localSheetId="4">#REF!</definedName>
    <definedName name="wefe" localSheetId="10">#REF!</definedName>
    <definedName name="wefe">#REF!</definedName>
    <definedName name="wrn.printing1." localSheetId="3" hidden="1">{#N/A,#N/A,TRUE,"PC &amp; PROV"}</definedName>
    <definedName name="wrn.printing1." hidden="1">{#N/A,#N/A,TRUE,"PC &amp; PROV"}</definedName>
    <definedName name="x" localSheetId="21">#REF!</definedName>
    <definedName name="x" localSheetId="17">#REF!</definedName>
    <definedName name="x">#REF!</definedName>
    <definedName name="xx" localSheetId="17">#REF!</definedName>
    <definedName name="xx">#REF!</definedName>
    <definedName name="yjgyj" localSheetId="21">#REF!</definedName>
    <definedName name="yjgyj" localSheetId="17">#REF!</definedName>
    <definedName name="yjgyj">#REF!</definedName>
    <definedName name="yjy">'[18]B-2'!$J$1</definedName>
    <definedName name="ytu" localSheetId="13">#REF!</definedName>
    <definedName name="ytu" localSheetId="3">#REF!</definedName>
    <definedName name="ytu" localSheetId="14">#REF!</definedName>
    <definedName name="ytu" localSheetId="20">#REF!</definedName>
    <definedName name="ytu" localSheetId="17">#REF!</definedName>
    <definedName name="ytu" localSheetId="12">#REF!</definedName>
    <definedName name="ytu" localSheetId="4">#REF!</definedName>
    <definedName name="ytu" localSheetId="10">#REF!</definedName>
    <definedName name="ytu">#REF!</definedName>
    <definedName name="ytuyu" localSheetId="13">'[19]B-3.2 EB'!#REF!</definedName>
    <definedName name="ytuyu" localSheetId="3">'[19]B-3.2 EB'!#REF!</definedName>
    <definedName name="ytuyu" localSheetId="14">'[19]B-3.2 EB'!#REF!</definedName>
    <definedName name="ytuyu" localSheetId="20">'[19]B-3.2 EB'!#REF!</definedName>
    <definedName name="ytuyu" localSheetId="17">'[19]B-3.2 EB'!#REF!</definedName>
    <definedName name="ytuyu" localSheetId="12">'[19]B-3.2 EB'!#REF!</definedName>
    <definedName name="ytuyu" localSheetId="4">'[19]B-3.2 EB'!#REF!</definedName>
    <definedName name="ytuyu" localSheetId="10">'[19]B-3.2 EB'!#REF!</definedName>
    <definedName name="ytuyu">'[19]B-3.2 EB'!#REF!</definedName>
    <definedName name="z" localSheetId="3">#REF!</definedName>
    <definedName name="z" localSheetId="17">#REF!</definedName>
    <definedName name="z">#REF!</definedName>
    <definedName name="ZZ" localSheetId="17">#REF!</definedName>
    <definedName name="ZZ">#REF!</definedName>
    <definedName name="ZZZ" localSheetId="17">#REF!</definedName>
    <definedName name="ZZZ">#REF!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3" i="71" l="1"/>
  <c r="D31" i="71"/>
  <c r="D29" i="71"/>
  <c r="D27" i="71"/>
  <c r="J6" i="31"/>
  <c r="E6" i="31"/>
  <c r="E15" i="31" s="1"/>
  <c r="D25" i="71"/>
  <c r="E13" i="64"/>
  <c r="H105" i="64"/>
  <c r="E34" i="64"/>
  <c r="D23" i="71"/>
  <c r="D21" i="71"/>
  <c r="D19" i="71"/>
  <c r="D17" i="71"/>
  <c r="D15" i="71"/>
  <c r="D13" i="71"/>
  <c r="D11" i="71"/>
  <c r="D9" i="71"/>
  <c r="H139" i="30"/>
  <c r="D7" i="71"/>
  <c r="D5" i="71"/>
  <c r="D35" i="71" l="1"/>
  <c r="D36" i="71" s="1"/>
  <c r="D37" i="71" s="1"/>
  <c r="D38" i="71" s="1"/>
  <c r="H216" i="65" l="1"/>
  <c r="F14" i="70"/>
  <c r="G14" i="70" s="1"/>
  <c r="H14" i="70" s="1"/>
  <c r="E6" i="70"/>
  <c r="F6" i="70"/>
  <c r="G6" i="70" s="1"/>
  <c r="H6" i="70" s="1"/>
  <c r="E9" i="70"/>
  <c r="D9" i="70" l="1"/>
  <c r="C13" i="64"/>
  <c r="F9" i="70" l="1"/>
  <c r="G9" i="70" l="1"/>
  <c r="H9" i="70" s="1"/>
  <c r="J13" i="64"/>
  <c r="H16" i="70" l="1"/>
  <c r="E7" i="16"/>
  <c r="E9" i="19"/>
  <c r="E14" i="66"/>
  <c r="E117" i="65"/>
  <c r="E106" i="65"/>
  <c r="E30" i="67"/>
  <c r="E32" i="42"/>
  <c r="E31" i="42"/>
  <c r="E26" i="67"/>
  <c r="J96" i="67"/>
  <c r="J95" i="67"/>
  <c r="J94" i="67"/>
  <c r="E83" i="67"/>
  <c r="E16" i="16" l="1"/>
  <c r="E71" i="65" l="1"/>
  <c r="C25" i="29" l="1"/>
  <c r="C5" i="32" l="1"/>
  <c r="F179" i="65"/>
  <c r="G179" i="65" s="1"/>
  <c r="H179" i="65" s="1"/>
  <c r="F178" i="65"/>
  <c r="G178" i="65" s="1"/>
  <c r="H178" i="65" s="1"/>
  <c r="C54" i="30"/>
  <c r="C127" i="30" s="1"/>
  <c r="C49" i="30"/>
  <c r="C126" i="30" s="1"/>
  <c r="C134" i="30"/>
  <c r="C133" i="30"/>
  <c r="C132" i="30"/>
  <c r="C128" i="30"/>
  <c r="C121" i="30"/>
  <c r="C125" i="30"/>
  <c r="C119" i="30"/>
  <c r="C118" i="30"/>
  <c r="C115" i="30"/>
  <c r="C120" i="30"/>
  <c r="C114" i="30"/>
  <c r="C113" i="30"/>
  <c r="C112" i="30"/>
  <c r="C108" i="30"/>
  <c r="C107" i="30"/>
  <c r="C106" i="30"/>
  <c r="C105" i="30"/>
  <c r="F40" i="65"/>
  <c r="G40" i="65" s="1"/>
  <c r="H40" i="65" s="1"/>
  <c r="E40" i="65"/>
  <c r="E201" i="65"/>
  <c r="D16" i="42"/>
  <c r="E8" i="42"/>
  <c r="E9" i="42" s="1"/>
  <c r="J6" i="42"/>
  <c r="J5" i="42"/>
  <c r="I1" i="42"/>
  <c r="F52" i="42" s="1"/>
  <c r="G52" i="42" s="1"/>
  <c r="H52" i="42" s="1"/>
  <c r="E20" i="42"/>
  <c r="H945" i="63"/>
  <c r="H946" i="63"/>
  <c r="H947" i="63" s="1"/>
  <c r="H942" i="63"/>
  <c r="H934" i="63"/>
  <c r="D17" i="42"/>
  <c r="D12" i="42"/>
  <c r="D8" i="42"/>
  <c r="D38" i="42"/>
  <c r="E108" i="66"/>
  <c r="E105" i="66"/>
  <c r="E102" i="66"/>
  <c r="F50" i="42" l="1"/>
  <c r="G50" i="42" s="1"/>
  <c r="H50" i="42" s="1"/>
  <c r="F48" i="42"/>
  <c r="G48" i="42" s="1"/>
  <c r="H48" i="42" s="1"/>
  <c r="E23" i="42"/>
  <c r="E24" i="42"/>
  <c r="E81" i="64"/>
  <c r="I71" i="64"/>
  <c r="J71" i="64" s="1"/>
  <c r="E77" i="64"/>
  <c r="E92" i="64"/>
  <c r="E93" i="64"/>
  <c r="E97" i="64"/>
  <c r="E98" i="64"/>
  <c r="E99" i="64"/>
  <c r="E96" i="64"/>
  <c r="I91" i="64"/>
  <c r="J91" i="64" s="1"/>
  <c r="E91" i="64"/>
  <c r="E84" i="64"/>
  <c r="E86" i="64" s="1"/>
  <c r="I84" i="64"/>
  <c r="J84" i="64" s="1"/>
  <c r="E74" i="64"/>
  <c r="E73" i="64"/>
  <c r="E72" i="64"/>
  <c r="E71" i="64"/>
  <c r="E68" i="64"/>
  <c r="E65" i="64"/>
  <c r="I68" i="64"/>
  <c r="J68" i="64" s="1"/>
  <c r="E64" i="64"/>
  <c r="E63" i="64"/>
  <c r="I63" i="64"/>
  <c r="J63" i="64" s="1"/>
  <c r="E60" i="64"/>
  <c r="I60" i="64"/>
  <c r="J60" i="64" s="1"/>
  <c r="E57" i="64"/>
  <c r="I57" i="64"/>
  <c r="J57" i="64" s="1"/>
  <c r="E52" i="64"/>
  <c r="E48" i="64"/>
  <c r="E49" i="64" s="1"/>
  <c r="E42" i="64"/>
  <c r="E44" i="64" s="1"/>
  <c r="E37" i="64"/>
  <c r="E40" i="66"/>
  <c r="E42" i="66" s="1"/>
  <c r="E91" i="66" s="1"/>
  <c r="E129" i="67"/>
  <c r="E128" i="67"/>
  <c r="E127" i="67"/>
  <c r="E126" i="67"/>
  <c r="E117" i="67"/>
  <c r="E154" i="67"/>
  <c r="E153" i="67"/>
  <c r="E152" i="67"/>
  <c r="E151" i="67"/>
  <c r="E143" i="67"/>
  <c r="E142" i="67"/>
  <c r="E141" i="67"/>
  <c r="E140" i="67"/>
  <c r="E123" i="67"/>
  <c r="E122" i="67"/>
  <c r="E121" i="67"/>
  <c r="E120" i="67"/>
  <c r="E99" i="67"/>
  <c r="E98" i="67"/>
  <c r="E97" i="67"/>
  <c r="E96" i="67"/>
  <c r="E114" i="67"/>
  <c r="E113" i="67"/>
  <c r="E112" i="67"/>
  <c r="E106" i="67"/>
  <c r="E105" i="67"/>
  <c r="E104" i="67"/>
  <c r="E103" i="67"/>
  <c r="E86" i="67"/>
  <c r="E85" i="67"/>
  <c r="E84" i="67"/>
  <c r="F23" i="42" l="1"/>
  <c r="F24" i="42"/>
  <c r="G24" i="42" s="1"/>
  <c r="H24" i="42" s="1"/>
  <c r="G23" i="42"/>
  <c r="H23" i="42" s="1"/>
  <c r="F17" i="42"/>
  <c r="G17" i="42" s="1"/>
  <c r="H17" i="42" s="1"/>
  <c r="F13" i="42"/>
  <c r="G13" i="42" s="1"/>
  <c r="H13" i="42" s="1"/>
  <c r="F44" i="42"/>
  <c r="G44" i="42" s="1"/>
  <c r="H44" i="42" s="1"/>
  <c r="F9" i="42"/>
  <c r="G9" i="42" s="1"/>
  <c r="H9" i="42" s="1"/>
  <c r="F38" i="42"/>
  <c r="G38" i="42" s="1"/>
  <c r="H38" i="42" s="1"/>
  <c r="F28" i="42"/>
  <c r="G28" i="42" s="1"/>
  <c r="H28" i="42" s="1"/>
  <c r="F27" i="42"/>
  <c r="G27" i="42" s="1"/>
  <c r="H27" i="42" s="1"/>
  <c r="F46" i="42"/>
  <c r="G46" i="42" s="1"/>
  <c r="H46" i="42" s="1"/>
  <c r="F42" i="42"/>
  <c r="G42" i="42" s="1"/>
  <c r="H42" i="42" s="1"/>
  <c r="F20" i="42"/>
  <c r="G20" i="42" s="1"/>
  <c r="H20" i="42" s="1"/>
  <c r="F12" i="42"/>
  <c r="G12" i="42" s="1"/>
  <c r="H12" i="42" s="1"/>
  <c r="F40" i="42"/>
  <c r="G40" i="42" s="1"/>
  <c r="H40" i="42" s="1"/>
  <c r="F16" i="42"/>
  <c r="G16" i="42" s="1"/>
  <c r="H16" i="42" s="1"/>
  <c r="F31" i="42"/>
  <c r="F36" i="42"/>
  <c r="G36" i="42" s="1"/>
  <c r="H36" i="42" s="1"/>
  <c r="F32" i="42"/>
  <c r="F34" i="42"/>
  <c r="G34" i="42" s="1"/>
  <c r="H34" i="42" s="1"/>
  <c r="F8" i="42"/>
  <c r="G8" i="42" s="1"/>
  <c r="H8" i="42" s="1"/>
  <c r="E85" i="64"/>
  <c r="E87" i="64" s="1"/>
  <c r="E45" i="64"/>
  <c r="E43" i="64"/>
  <c r="E43" i="66"/>
  <c r="E92" i="66" s="1"/>
  <c r="E41" i="66"/>
  <c r="E90" i="66" s="1"/>
  <c r="G1024" i="63"/>
  <c r="G722" i="63"/>
  <c r="E601" i="63"/>
  <c r="E34" i="15"/>
  <c r="E195" i="65"/>
  <c r="E135" i="65"/>
  <c r="F115" i="65"/>
  <c r="E112" i="65"/>
  <c r="E113" i="65" s="1"/>
  <c r="F109" i="65"/>
  <c r="E108" i="65"/>
  <c r="E102" i="65"/>
  <c r="F102" i="65"/>
  <c r="E101" i="65"/>
  <c r="E100" i="65"/>
  <c r="E99" i="65"/>
  <c r="F95" i="65"/>
  <c r="E92" i="65"/>
  <c r="E95" i="65" s="1"/>
  <c r="G95" i="65" s="1"/>
  <c r="H95" i="65" s="1"/>
  <c r="E74" i="65"/>
  <c r="E81" i="65"/>
  <c r="E79" i="65"/>
  <c r="E78" i="65"/>
  <c r="E80" i="65" s="1"/>
  <c r="F87" i="65"/>
  <c r="E84" i="65"/>
  <c r="E86" i="65" s="1"/>
  <c r="F81" i="65"/>
  <c r="F74" i="65"/>
  <c r="E72" i="65"/>
  <c r="E73" i="65"/>
  <c r="F67" i="65"/>
  <c r="E64" i="65"/>
  <c r="E65" i="65" s="1"/>
  <c r="F61" i="65"/>
  <c r="E58" i="65"/>
  <c r="E60" i="65" s="1"/>
  <c r="F54" i="65"/>
  <c r="E51" i="65"/>
  <c r="E53" i="65" s="1"/>
  <c r="E44" i="65"/>
  <c r="E47" i="65" s="1"/>
  <c r="F47" i="65"/>
  <c r="E30" i="65"/>
  <c r="E28" i="65"/>
  <c r="E29" i="65" s="1"/>
  <c r="E22" i="65"/>
  <c r="E24" i="65" s="1"/>
  <c r="F574" i="63"/>
  <c r="F573" i="63"/>
  <c r="H570" i="63"/>
  <c r="E98" i="30"/>
  <c r="E97" i="30"/>
  <c r="E96" i="30"/>
  <c r="E92" i="30"/>
  <c r="E91" i="30"/>
  <c r="E90" i="30"/>
  <c r="E82" i="30"/>
  <c r="E84" i="30" s="1"/>
  <c r="E34" i="30"/>
  <c r="E7" i="30"/>
  <c r="G102" i="65" l="1"/>
  <c r="H102" i="65" s="1"/>
  <c r="E59" i="65"/>
  <c r="G74" i="65"/>
  <c r="H74" i="65" s="1"/>
  <c r="E61" i="65"/>
  <c r="G61" i="65" s="1"/>
  <c r="H61" i="65" s="1"/>
  <c r="E114" i="65"/>
  <c r="E115" i="65"/>
  <c r="G115" i="65" s="1"/>
  <c r="H115" i="65" s="1"/>
  <c r="E31" i="65"/>
  <c r="E83" i="30"/>
  <c r="E52" i="65"/>
  <c r="E85" i="65"/>
  <c r="E25" i="65"/>
  <c r="E54" i="65"/>
  <c r="G54" i="65" s="1"/>
  <c r="H54" i="65" s="1"/>
  <c r="E66" i="65"/>
  <c r="E87" i="65"/>
  <c r="G87" i="65" s="1"/>
  <c r="H87" i="65" s="1"/>
  <c r="E93" i="65"/>
  <c r="E109" i="65"/>
  <c r="G109" i="65" s="1"/>
  <c r="H109" i="65" s="1"/>
  <c r="E67" i="65"/>
  <c r="E94" i="65"/>
  <c r="E45" i="65"/>
  <c r="G67" i="65"/>
  <c r="H67" i="65" s="1"/>
  <c r="E107" i="65"/>
  <c r="E46" i="65"/>
  <c r="E23" i="65"/>
  <c r="E37" i="30"/>
  <c r="E49" i="30" s="1"/>
  <c r="E54" i="30" s="1"/>
  <c r="G81" i="65"/>
  <c r="H81" i="65" s="1"/>
  <c r="G47" i="65"/>
  <c r="H47" i="65" s="1"/>
  <c r="E41" i="30"/>
  <c r="E50" i="30"/>
  <c r="E55" i="30" s="1"/>
  <c r="E35" i="30"/>
  <c r="E36" i="30"/>
  <c r="E48" i="30" l="1"/>
  <c r="E53" i="30" s="1"/>
  <c r="E40" i="30"/>
  <c r="E47" i="30"/>
  <c r="E52" i="30" s="1"/>
  <c r="E39" i="30"/>
  <c r="F31" i="65"/>
  <c r="G31" i="65" s="1"/>
  <c r="F25" i="65"/>
  <c r="G25" i="65" s="1"/>
  <c r="G87" i="68"/>
  <c r="H87" i="68" s="1"/>
  <c r="I87" i="68" s="1"/>
  <c r="G85" i="68"/>
  <c r="H85" i="68" s="1"/>
  <c r="I85" i="68" s="1"/>
  <c r="E21" i="66"/>
  <c r="E20" i="66"/>
  <c r="C21" i="66"/>
  <c r="E15" i="66"/>
  <c r="C20" i="66"/>
  <c r="E16" i="66"/>
  <c r="H31" i="65" l="1"/>
  <c r="H25" i="65"/>
  <c r="C26" i="15"/>
  <c r="E29" i="15"/>
  <c r="C7" i="15"/>
  <c r="C17" i="15"/>
  <c r="E23" i="20" l="1"/>
  <c r="E22" i="20"/>
  <c r="E21" i="20"/>
  <c r="E13" i="20"/>
  <c r="E14" i="20" s="1"/>
  <c r="E15" i="20" s="1"/>
  <c r="E16" i="20" s="1"/>
  <c r="E40" i="19"/>
  <c r="F42" i="19"/>
  <c r="F43" i="19"/>
  <c r="E35" i="19"/>
  <c r="F37" i="19"/>
  <c r="E37" i="19"/>
  <c r="D37" i="19"/>
  <c r="F36" i="19"/>
  <c r="E36" i="19"/>
  <c r="G36" i="19" s="1"/>
  <c r="H36" i="19" s="1"/>
  <c r="D36" i="19"/>
  <c r="F35" i="19"/>
  <c r="D35" i="19"/>
  <c r="F29" i="19"/>
  <c r="E20" i="19"/>
  <c r="F22" i="19"/>
  <c r="E22" i="19"/>
  <c r="G22" i="19" s="1"/>
  <c r="H22" i="19" s="1"/>
  <c r="F21" i="19"/>
  <c r="E21" i="19"/>
  <c r="G21" i="19" s="1"/>
  <c r="H21" i="19" s="1"/>
  <c r="F20" i="19"/>
  <c r="C9" i="19"/>
  <c r="E19" i="16"/>
  <c r="E10" i="16"/>
  <c r="C17" i="31"/>
  <c r="C7" i="31"/>
  <c r="C6" i="31"/>
  <c r="E41" i="19" l="1"/>
  <c r="E42" i="19"/>
  <c r="G42" i="19" s="1"/>
  <c r="H42" i="19" s="1"/>
  <c r="E43" i="19"/>
  <c r="G43" i="19" s="1"/>
  <c r="H43" i="19" s="1"/>
  <c r="G35" i="19"/>
  <c r="H35" i="19" s="1"/>
  <c r="G37" i="19"/>
  <c r="H37" i="19" s="1"/>
  <c r="G20" i="19"/>
  <c r="H20" i="19" s="1"/>
  <c r="E17" i="16"/>
  <c r="E18" i="16"/>
  <c r="E8" i="16"/>
  <c r="E9" i="16"/>
  <c r="E4" i="13"/>
  <c r="I1" i="69"/>
  <c r="F5" i="69" s="1"/>
  <c r="A4" i="69"/>
  <c r="G5" i="69" l="1"/>
  <c r="H5" i="69" l="1"/>
  <c r="H7" i="69" s="1"/>
  <c r="G68" i="68" l="1"/>
  <c r="H68" i="68" s="1"/>
  <c r="I68" i="68" s="1"/>
  <c r="G51" i="68"/>
  <c r="H51" i="68" s="1"/>
  <c r="I51" i="68" s="1"/>
  <c r="I105" i="68" l="1"/>
  <c r="F44" i="65"/>
  <c r="A101" i="68" l="1"/>
  <c r="A103" i="68" s="1"/>
  <c r="P95" i="68"/>
  <c r="A94" i="68"/>
  <c r="A95" i="68" s="1"/>
  <c r="A83" i="68"/>
  <c r="A74" i="68"/>
  <c r="A72" i="68"/>
  <c r="A59" i="68"/>
  <c r="A53" i="68"/>
  <c r="A55" i="68" s="1"/>
  <c r="A38" i="68"/>
  <c r="A9" i="68"/>
  <c r="A11" i="68" s="1"/>
  <c r="A31" i="68" s="1"/>
  <c r="A88" i="68" l="1"/>
  <c r="A90" i="68"/>
  <c r="I1" i="67" l="1"/>
  <c r="F135" i="67" l="1"/>
  <c r="G135" i="67" s="1"/>
  <c r="H135" i="67" s="1"/>
  <c r="F134" i="67"/>
  <c r="G134" i="67" s="1"/>
  <c r="H134" i="67" s="1"/>
  <c r="F133" i="67"/>
  <c r="G133" i="67" s="1"/>
  <c r="H133" i="67" s="1"/>
  <c r="F132" i="67"/>
  <c r="G132" i="67" s="1"/>
  <c r="H132" i="67" s="1"/>
  <c r="F129" i="67"/>
  <c r="G129" i="67" s="1"/>
  <c r="H129" i="67" s="1"/>
  <c r="F128" i="67"/>
  <c r="G128" i="67" s="1"/>
  <c r="H128" i="67" s="1"/>
  <c r="F127" i="67"/>
  <c r="G127" i="67" s="1"/>
  <c r="H127" i="67" s="1"/>
  <c r="F126" i="67"/>
  <c r="G126" i="67" s="1"/>
  <c r="H126" i="67" s="1"/>
  <c r="F117" i="67"/>
  <c r="G117" i="67" s="1"/>
  <c r="H117" i="67" s="1"/>
  <c r="F154" i="67"/>
  <c r="G154" i="67" s="1"/>
  <c r="H154" i="67" s="1"/>
  <c r="F152" i="67"/>
  <c r="G152" i="67" s="1"/>
  <c r="H152" i="67" s="1"/>
  <c r="F153" i="67"/>
  <c r="G153" i="67" s="1"/>
  <c r="H153" i="67" s="1"/>
  <c r="F151" i="67"/>
  <c r="G151" i="67" s="1"/>
  <c r="H151" i="67" s="1"/>
  <c r="F140" i="67"/>
  <c r="G140" i="67" s="1"/>
  <c r="H140" i="67" s="1"/>
  <c r="F141" i="67"/>
  <c r="G141" i="67" s="1"/>
  <c r="H141" i="67" s="1"/>
  <c r="F142" i="67"/>
  <c r="G142" i="67" s="1"/>
  <c r="H142" i="67" s="1"/>
  <c r="F143" i="67"/>
  <c r="G143" i="67" s="1"/>
  <c r="H143" i="67" s="1"/>
  <c r="F121" i="67"/>
  <c r="G121" i="67" s="1"/>
  <c r="H121" i="67" s="1"/>
  <c r="F122" i="67"/>
  <c r="G122" i="67" s="1"/>
  <c r="H122" i="67" s="1"/>
  <c r="F123" i="67"/>
  <c r="G123" i="67" s="1"/>
  <c r="H123" i="67" s="1"/>
  <c r="F120" i="67"/>
  <c r="G120" i="67" s="1"/>
  <c r="H120" i="67" s="1"/>
  <c r="F113" i="67"/>
  <c r="G113" i="67" s="1"/>
  <c r="H113" i="67" s="1"/>
  <c r="F114" i="67"/>
  <c r="G114" i="67" s="1"/>
  <c r="H114" i="67" s="1"/>
  <c r="F112" i="67"/>
  <c r="G112" i="67" s="1"/>
  <c r="H112" i="67" s="1"/>
  <c r="F105" i="67"/>
  <c r="G105" i="67" s="1"/>
  <c r="H105" i="67" s="1"/>
  <c r="F103" i="67"/>
  <c r="G103" i="67" s="1"/>
  <c r="H103" i="67" s="1"/>
  <c r="F106" i="67"/>
  <c r="G106" i="67" s="1"/>
  <c r="H106" i="67" s="1"/>
  <c r="F104" i="67"/>
  <c r="G104" i="67" s="1"/>
  <c r="H104" i="67" s="1"/>
  <c r="F99" i="67"/>
  <c r="G99" i="67" s="1"/>
  <c r="H99" i="67" s="1"/>
  <c r="F98" i="67"/>
  <c r="G98" i="67" s="1"/>
  <c r="H98" i="67" s="1"/>
  <c r="F96" i="67"/>
  <c r="G96" i="67" s="1"/>
  <c r="H96" i="67" s="1"/>
  <c r="F97" i="67"/>
  <c r="G97" i="67" s="1"/>
  <c r="H97" i="67" s="1"/>
  <c r="F93" i="67"/>
  <c r="G93" i="67" s="1"/>
  <c r="H93" i="67" s="1"/>
  <c r="F90" i="67"/>
  <c r="G90" i="67" s="1"/>
  <c r="H90" i="67" s="1"/>
  <c r="F92" i="67"/>
  <c r="G92" i="67" s="1"/>
  <c r="H92" i="67" s="1"/>
  <c r="F91" i="67"/>
  <c r="G91" i="67" s="1"/>
  <c r="H91" i="67" s="1"/>
  <c r="F86" i="67"/>
  <c r="G86" i="67" s="1"/>
  <c r="H86" i="67" s="1"/>
  <c r="F84" i="67"/>
  <c r="G84" i="67" s="1"/>
  <c r="H84" i="67" s="1"/>
  <c r="F85" i="67"/>
  <c r="G85" i="67" s="1"/>
  <c r="H85" i="67" s="1"/>
  <c r="F83" i="67"/>
  <c r="G83" i="67" s="1"/>
  <c r="H83" i="67" s="1"/>
  <c r="F80" i="67"/>
  <c r="G80" i="67" s="1"/>
  <c r="H80" i="67" s="1"/>
  <c r="F79" i="67"/>
  <c r="G79" i="67" s="1"/>
  <c r="H79" i="67" s="1"/>
  <c r="F77" i="67"/>
  <c r="G77" i="67" s="1"/>
  <c r="H77" i="67" s="1"/>
  <c r="F78" i="67"/>
  <c r="G78" i="67" s="1"/>
  <c r="H78" i="67" s="1"/>
  <c r="F74" i="67"/>
  <c r="G74" i="67" s="1"/>
  <c r="H74" i="67" s="1"/>
  <c r="F73" i="67"/>
  <c r="G73" i="67" s="1"/>
  <c r="H73" i="67" s="1"/>
  <c r="F72" i="67"/>
  <c r="G72" i="67" s="1"/>
  <c r="H72" i="67" s="1"/>
  <c r="F71" i="67"/>
  <c r="G71" i="67" s="1"/>
  <c r="H71" i="67" s="1"/>
  <c r="F68" i="67"/>
  <c r="G68" i="67" s="1"/>
  <c r="H68" i="67" s="1"/>
  <c r="F67" i="67"/>
  <c r="G67" i="67" s="1"/>
  <c r="H67" i="67" s="1"/>
  <c r="F66" i="67"/>
  <c r="G66" i="67" s="1"/>
  <c r="H66" i="67" s="1"/>
  <c r="F65" i="67"/>
  <c r="G65" i="67" s="1"/>
  <c r="H65" i="67" s="1"/>
  <c r="F62" i="67"/>
  <c r="G62" i="67" s="1"/>
  <c r="H62" i="67" s="1"/>
  <c r="F61" i="67"/>
  <c r="G61" i="67" s="1"/>
  <c r="H61" i="67" s="1"/>
  <c r="F60" i="67"/>
  <c r="G60" i="67" s="1"/>
  <c r="H60" i="67" s="1"/>
  <c r="F59" i="67"/>
  <c r="G59" i="67" s="1"/>
  <c r="H59" i="67" s="1"/>
  <c r="F166" i="67"/>
  <c r="G166" i="67" s="1"/>
  <c r="H166" i="67" s="1"/>
  <c r="F1974" i="63"/>
  <c r="F1969" i="63"/>
  <c r="F1972" i="63" s="1"/>
  <c r="F1967" i="63"/>
  <c r="E1961" i="63"/>
  <c r="F1961" i="63" s="1"/>
  <c r="F1960" i="63"/>
  <c r="G1966" i="63" s="1"/>
  <c r="E19" i="66"/>
  <c r="F1971" i="63" l="1"/>
  <c r="G1974" i="63" s="1"/>
  <c r="G1977" i="63" l="1"/>
  <c r="F30" i="67" l="1"/>
  <c r="G30" i="67" s="1"/>
  <c r="H30" i="67" s="1"/>
  <c r="F29" i="67"/>
  <c r="G29" i="67" s="1"/>
  <c r="H29" i="67" s="1"/>
  <c r="F26" i="67"/>
  <c r="G26" i="67" s="1"/>
  <c r="H26" i="67" s="1"/>
  <c r="F25" i="67"/>
  <c r="G25" i="67" s="1"/>
  <c r="H25" i="67" s="1"/>
  <c r="F24" i="67"/>
  <c r="G24" i="67" s="1"/>
  <c r="H24" i="67" s="1"/>
  <c r="F18" i="67"/>
  <c r="G18" i="67" s="1"/>
  <c r="H18" i="67" s="1"/>
  <c r="F14" i="67"/>
  <c r="G14" i="67" s="1"/>
  <c r="H14" i="67" s="1"/>
  <c r="F8" i="67"/>
  <c r="G8" i="67" s="1"/>
  <c r="H8" i="67" s="1"/>
  <c r="F6" i="67"/>
  <c r="G6" i="67" s="1"/>
  <c r="H6" i="67" s="1"/>
  <c r="H174" i="67" l="1"/>
  <c r="E1460" i="63"/>
  <c r="F1460" i="63" s="1"/>
  <c r="E1455" i="63"/>
  <c r="F1455" i="63" s="1"/>
  <c r="F1472" i="63"/>
  <c r="F1468" i="63"/>
  <c r="F1467" i="63"/>
  <c r="F1465" i="63"/>
  <c r="A149" i="67" l="1"/>
  <c r="G1472" i="63"/>
  <c r="F1456" i="63"/>
  <c r="C16" i="29" l="1"/>
  <c r="E4" i="37"/>
  <c r="E1518" i="63"/>
  <c r="E901" i="63"/>
  <c r="E1542" i="63"/>
  <c r="F1542" i="63" s="1"/>
  <c r="F1545" i="63"/>
  <c r="F1541" i="63"/>
  <c r="F1539" i="63"/>
  <c r="E1538" i="63"/>
  <c r="F1535" i="63"/>
  <c r="F1534" i="63"/>
  <c r="F1533" i="63"/>
  <c r="F1538" i="63" l="1"/>
  <c r="G1540" i="63" s="1"/>
  <c r="F1544" i="63"/>
  <c r="G1545" i="63" s="1"/>
  <c r="G1548" i="63" l="1"/>
  <c r="G1549" i="63" s="1"/>
  <c r="G1550" i="63" s="1"/>
  <c r="F1508" i="63"/>
  <c r="F1512" i="63"/>
  <c r="E34" i="19"/>
  <c r="E19" i="19"/>
  <c r="E49" i="19" l="1"/>
  <c r="E48" i="19"/>
  <c r="F177" i="65"/>
  <c r="G177" i="65" s="1"/>
  <c r="H177" i="65" s="1"/>
  <c r="E37" i="65"/>
  <c r="E39" i="65"/>
  <c r="E38" i="65"/>
  <c r="G92" i="65"/>
  <c r="H92" i="65" s="1"/>
  <c r="F135" i="65"/>
  <c r="F117" i="65"/>
  <c r="F114" i="65"/>
  <c r="F113" i="65"/>
  <c r="G113" i="65" s="1"/>
  <c r="H113" i="65" s="1"/>
  <c r="F112" i="65"/>
  <c r="F108" i="65"/>
  <c r="F107" i="65"/>
  <c r="F106" i="65"/>
  <c r="F101" i="65"/>
  <c r="F100" i="65"/>
  <c r="F99" i="65"/>
  <c r="F94" i="65"/>
  <c r="F93" i="65"/>
  <c r="F92" i="65"/>
  <c r="F86" i="65"/>
  <c r="F85" i="65"/>
  <c r="F84" i="65"/>
  <c r="F80" i="65"/>
  <c r="G80" i="65" s="1"/>
  <c r="H80" i="65" s="1"/>
  <c r="F79" i="65"/>
  <c r="F78" i="65"/>
  <c r="F73" i="65"/>
  <c r="G73" i="65" s="1"/>
  <c r="H73" i="65" s="1"/>
  <c r="F72" i="65"/>
  <c r="F71" i="65"/>
  <c r="F66" i="65"/>
  <c r="G66" i="65" s="1"/>
  <c r="H66" i="65" s="1"/>
  <c r="F65" i="65"/>
  <c r="G65" i="65" s="1"/>
  <c r="H65" i="65" s="1"/>
  <c r="F64" i="65"/>
  <c r="F60" i="65"/>
  <c r="F59" i="65"/>
  <c r="F58" i="65"/>
  <c r="F53" i="65"/>
  <c r="F52" i="65"/>
  <c r="F51" i="65"/>
  <c r="F46" i="65"/>
  <c r="G46" i="65" s="1"/>
  <c r="H46" i="65" s="1"/>
  <c r="F45" i="65"/>
  <c r="F39" i="65"/>
  <c r="F38" i="65"/>
  <c r="F37" i="65"/>
  <c r="F183" i="65"/>
  <c r="G183" i="65" s="1"/>
  <c r="H183" i="65" s="1"/>
  <c r="F186" i="65"/>
  <c r="G186" i="65" s="1"/>
  <c r="H186" i="65" s="1"/>
  <c r="F195" i="65"/>
  <c r="F198" i="65"/>
  <c r="G198" i="65" s="1"/>
  <c r="H198" i="65" s="1"/>
  <c r="F201" i="65"/>
  <c r="F174" i="65"/>
  <c r="G174" i="65" s="1"/>
  <c r="H174" i="65" s="1"/>
  <c r="F172" i="65"/>
  <c r="E172" i="65"/>
  <c r="F205" i="65"/>
  <c r="G205" i="65" s="1"/>
  <c r="H205" i="65" s="1"/>
  <c r="I1" i="66"/>
  <c r="F105" i="66" l="1"/>
  <c r="G105" i="66" s="1"/>
  <c r="H105" i="66" s="1"/>
  <c r="F108" i="66"/>
  <c r="G108" i="66" s="1"/>
  <c r="H108" i="66" s="1"/>
  <c r="F47" i="66"/>
  <c r="F49" i="66"/>
  <c r="F102" i="66"/>
  <c r="G102" i="66" s="1"/>
  <c r="H102" i="66" s="1"/>
  <c r="F41" i="66"/>
  <c r="G41" i="66" s="1"/>
  <c r="H41" i="66" s="1"/>
  <c r="F92" i="66"/>
  <c r="G92" i="66" s="1"/>
  <c r="H92" i="66" s="1"/>
  <c r="F91" i="66"/>
  <c r="G91" i="66" s="1"/>
  <c r="H91" i="66" s="1"/>
  <c r="F42" i="66"/>
  <c r="G42" i="66" s="1"/>
  <c r="H42" i="66" s="1"/>
  <c r="F98" i="66"/>
  <c r="F97" i="66"/>
  <c r="F48" i="66"/>
  <c r="F43" i="66"/>
  <c r="G43" i="66" s="1"/>
  <c r="H43" i="66" s="1"/>
  <c r="F96" i="66"/>
  <c r="G45" i="65"/>
  <c r="H45" i="65" s="1"/>
  <c r="G79" i="65"/>
  <c r="H79" i="65" s="1"/>
  <c r="G38" i="65"/>
  <c r="G78" i="65"/>
  <c r="H78" i="65" s="1"/>
  <c r="G201" i="65"/>
  <c r="H201" i="65" s="1"/>
  <c r="G93" i="65"/>
  <c r="H93" i="65" s="1"/>
  <c r="G100" i="65"/>
  <c r="H100" i="65" s="1"/>
  <c r="G53" i="65"/>
  <c r="H53" i="65" s="1"/>
  <c r="F35" i="66"/>
  <c r="F34" i="66"/>
  <c r="F33" i="66"/>
  <c r="F32" i="66"/>
  <c r="F27" i="66"/>
  <c r="F28" i="66"/>
  <c r="F29" i="66"/>
  <c r="F21" i="66"/>
  <c r="G21" i="66" s="1"/>
  <c r="H21" i="66" s="1"/>
  <c r="F20" i="66"/>
  <c r="G20" i="66" s="1"/>
  <c r="H20" i="66" s="1"/>
  <c r="F16" i="66"/>
  <c r="G16" i="66" s="1"/>
  <c r="H16" i="66" s="1"/>
  <c r="F15" i="66"/>
  <c r="G15" i="66" s="1"/>
  <c r="H15" i="66" s="1"/>
  <c r="F19" i="66"/>
  <c r="G19" i="66" s="1"/>
  <c r="H19" i="66" s="1"/>
  <c r="F14" i="66"/>
  <c r="G39" i="65"/>
  <c r="G37" i="65"/>
  <c r="G44" i="65"/>
  <c r="H44" i="65" s="1"/>
  <c r="G52" i="65"/>
  <c r="H52" i="65" s="1"/>
  <c r="G51" i="65"/>
  <c r="H51" i="65" s="1"/>
  <c r="G60" i="65"/>
  <c r="H60" i="65" s="1"/>
  <c r="G59" i="65"/>
  <c r="H59" i="65" s="1"/>
  <c r="G58" i="65"/>
  <c r="H58" i="65" s="1"/>
  <c r="G64" i="65"/>
  <c r="H64" i="65" s="1"/>
  <c r="G72" i="65"/>
  <c r="H72" i="65" s="1"/>
  <c r="G71" i="65"/>
  <c r="H71" i="65" s="1"/>
  <c r="G86" i="65"/>
  <c r="H86" i="65" s="1"/>
  <c r="G85" i="65"/>
  <c r="H85" i="65" s="1"/>
  <c r="G84" i="65"/>
  <c r="H84" i="65" s="1"/>
  <c r="G94" i="65"/>
  <c r="H94" i="65" s="1"/>
  <c r="G114" i="65"/>
  <c r="H114" i="65" s="1"/>
  <c r="G101" i="65"/>
  <c r="H101" i="65" s="1"/>
  <c r="G99" i="65"/>
  <c r="H99" i="65" s="1"/>
  <c r="G108" i="65"/>
  <c r="H108" i="65" s="1"/>
  <c r="G107" i="65"/>
  <c r="H107" i="65" s="1"/>
  <c r="G106" i="65"/>
  <c r="H106" i="65" s="1"/>
  <c r="G112" i="65"/>
  <c r="H112" i="65" s="1"/>
  <c r="G117" i="65"/>
  <c r="H117" i="65" s="1"/>
  <c r="G135" i="65"/>
  <c r="H135" i="65" s="1"/>
  <c r="G172" i="65"/>
  <c r="H172" i="65" s="1"/>
  <c r="G195" i="65"/>
  <c r="H195" i="65" s="1"/>
  <c r="F40" i="66"/>
  <c r="F90" i="66"/>
  <c r="F26" i="66"/>
  <c r="F46" i="66"/>
  <c r="F30" i="65"/>
  <c r="F29" i="65"/>
  <c r="F28" i="65"/>
  <c r="F24" i="65"/>
  <c r="F23" i="65"/>
  <c r="F22" i="65"/>
  <c r="G22" i="65" s="1"/>
  <c r="H22" i="65" s="1"/>
  <c r="B220" i="65"/>
  <c r="B221" i="65" s="1"/>
  <c r="L211" i="65"/>
  <c r="L198" i="65"/>
  <c r="M198" i="65" s="1"/>
  <c r="L189" i="65"/>
  <c r="L186" i="65"/>
  <c r="H38" i="65"/>
  <c r="H37" i="65" l="1"/>
  <c r="G29" i="65"/>
  <c r="H29" i="65" s="1"/>
  <c r="H39" i="65"/>
  <c r="G23" i="65"/>
  <c r="H23" i="65" s="1"/>
  <c r="G28" i="65"/>
  <c r="H28" i="65" s="1"/>
  <c r="G30" i="65"/>
  <c r="H30" i="65" s="1"/>
  <c r="G24" i="65"/>
  <c r="H24" i="65" s="1"/>
  <c r="E38" i="64"/>
  <c r="E39" i="64" s="1"/>
  <c r="C15" i="29" l="1"/>
  <c r="I1" i="64"/>
  <c r="F13" i="64" s="1"/>
  <c r="A20" i="64"/>
  <c r="A23" i="64" s="1"/>
  <c r="A27" i="64" s="1"/>
  <c r="A15" i="64"/>
  <c r="A8" i="64"/>
  <c r="A4" i="64"/>
  <c r="F77" i="64" l="1"/>
  <c r="G77" i="64" s="1"/>
  <c r="H77" i="64" s="1"/>
  <c r="F81" i="64"/>
  <c r="G81" i="64" s="1"/>
  <c r="H81" i="64" s="1"/>
  <c r="F99" i="64"/>
  <c r="G99" i="64" s="1"/>
  <c r="H99" i="64" s="1"/>
  <c r="F98" i="64"/>
  <c r="G98" i="64" s="1"/>
  <c r="H98" i="64" s="1"/>
  <c r="F91" i="64"/>
  <c r="G91" i="64" s="1"/>
  <c r="H91" i="64" s="1"/>
  <c r="F93" i="64"/>
  <c r="G93" i="64" s="1"/>
  <c r="H93" i="64" s="1"/>
  <c r="F92" i="64"/>
  <c r="G92" i="64" s="1"/>
  <c r="H92" i="64" s="1"/>
  <c r="F87" i="64"/>
  <c r="G87" i="64" s="1"/>
  <c r="H87" i="64" s="1"/>
  <c r="F74" i="64"/>
  <c r="G74" i="64" s="1"/>
  <c r="H74" i="64" s="1"/>
  <c r="F73" i="64"/>
  <c r="G73" i="64" s="1"/>
  <c r="H73" i="64" s="1"/>
  <c r="F71" i="64"/>
  <c r="G71" i="64" s="1"/>
  <c r="H71" i="64" s="1"/>
  <c r="F72" i="64"/>
  <c r="G72" i="64" s="1"/>
  <c r="H72" i="64" s="1"/>
  <c r="F49" i="64"/>
  <c r="G49" i="64" s="1"/>
  <c r="H49" i="64" s="1"/>
  <c r="F65" i="64"/>
  <c r="G65" i="64" s="1"/>
  <c r="H65" i="64" s="1"/>
  <c r="F64" i="64"/>
  <c r="G64" i="64" s="1"/>
  <c r="H64" i="64" s="1"/>
  <c r="F39" i="64"/>
  <c r="G39" i="64" s="1"/>
  <c r="H39" i="64" s="1"/>
  <c r="F44" i="64"/>
  <c r="G44" i="64" s="1"/>
  <c r="H44" i="64" s="1"/>
  <c r="F45" i="64"/>
  <c r="G45" i="64" s="1"/>
  <c r="H45" i="64" s="1"/>
  <c r="F97" i="64"/>
  <c r="G97" i="64" s="1"/>
  <c r="H97" i="64" s="1"/>
  <c r="F96" i="64"/>
  <c r="G96" i="64" s="1"/>
  <c r="H96" i="64" s="1"/>
  <c r="F86" i="64"/>
  <c r="G86" i="64" s="1"/>
  <c r="H86" i="64" s="1"/>
  <c r="F85" i="64"/>
  <c r="G85" i="64" s="1"/>
  <c r="H85" i="64" s="1"/>
  <c r="F68" i="64"/>
  <c r="G68" i="64" s="1"/>
  <c r="H68" i="64" s="1"/>
  <c r="F84" i="64"/>
  <c r="G84" i="64" s="1"/>
  <c r="H84" i="64" s="1"/>
  <c r="F63" i="64"/>
  <c r="G63" i="64" s="1"/>
  <c r="H63" i="64" s="1"/>
  <c r="F38" i="64"/>
  <c r="G38" i="64" s="1"/>
  <c r="H38" i="64" s="1"/>
  <c r="F48" i="64"/>
  <c r="G48" i="64" s="1"/>
  <c r="H48" i="64" s="1"/>
  <c r="F60" i="64"/>
  <c r="G60" i="64" s="1"/>
  <c r="H60" i="64" s="1"/>
  <c r="F43" i="64"/>
  <c r="G43" i="64" s="1"/>
  <c r="H43" i="64" s="1"/>
  <c r="F52" i="64"/>
  <c r="F57" i="64"/>
  <c r="G57" i="64" s="1"/>
  <c r="H57" i="64" s="1"/>
  <c r="F42" i="64"/>
  <c r="G42" i="64" s="1"/>
  <c r="H42" i="64" s="1"/>
  <c r="F37" i="64"/>
  <c r="G37" i="64" s="1"/>
  <c r="H37" i="64" s="1"/>
  <c r="F34" i="64"/>
  <c r="G34" i="64" s="1"/>
  <c r="H34" i="64" s="1"/>
  <c r="G52" i="64" l="1"/>
  <c r="H52" i="64" s="1"/>
  <c r="G13" i="64"/>
  <c r="E50" i="19"/>
  <c r="F50" i="19"/>
  <c r="F49" i="19"/>
  <c r="F48" i="19"/>
  <c r="G48" i="19" s="1"/>
  <c r="H48" i="19" s="1"/>
  <c r="F41" i="19"/>
  <c r="F13" i="19"/>
  <c r="H13" i="64" l="1"/>
  <c r="C17" i="29" s="1"/>
  <c r="G50" i="19"/>
  <c r="H50" i="19" s="1"/>
  <c r="G49" i="19"/>
  <c r="H49" i="19" s="1"/>
  <c r="I34" i="30" l="1"/>
  <c r="F40" i="19" l="1"/>
  <c r="G40" i="19" s="1"/>
  <c r="H40" i="19" s="1"/>
  <c r="F34" i="19"/>
  <c r="G34" i="19" s="1"/>
  <c r="H34" i="19" s="1"/>
  <c r="F19" i="19"/>
  <c r="F9" i="19"/>
  <c r="F15" i="19"/>
  <c r="F14" i="19"/>
  <c r="F12" i="19"/>
  <c r="F26" i="19"/>
  <c r="F28" i="19"/>
  <c r="F27" i="19"/>
  <c r="F895" i="63"/>
  <c r="F894" i="63"/>
  <c r="G19" i="19" l="1"/>
  <c r="H19" i="19" s="1"/>
  <c r="I1" i="20" l="1"/>
  <c r="E1566" i="63"/>
  <c r="F13" i="20" l="1"/>
  <c r="G13" i="20" s="1"/>
  <c r="H13" i="20" s="1"/>
  <c r="F16" i="20"/>
  <c r="F15" i="20"/>
  <c r="F21" i="20"/>
  <c r="F10" i="20"/>
  <c r="F7" i="20"/>
  <c r="F20" i="20"/>
  <c r="F8" i="20"/>
  <c r="F22" i="20"/>
  <c r="F23" i="20"/>
  <c r="F9" i="20"/>
  <c r="F14" i="20"/>
  <c r="I1" i="37" l="1"/>
  <c r="F4" i="37" s="1"/>
  <c r="G4" i="37" s="1"/>
  <c r="E96" i="63"/>
  <c r="F96" i="63" s="1"/>
  <c r="F97" i="63" s="1"/>
  <c r="F110" i="63"/>
  <c r="F108" i="63"/>
  <c r="F107" i="63"/>
  <c r="F104" i="63"/>
  <c r="F102" i="63"/>
  <c r="F101" i="63"/>
  <c r="F100" i="63"/>
  <c r="F99" i="63"/>
  <c r="F98" i="63"/>
  <c r="I1" i="15"/>
  <c r="F13" i="63"/>
  <c r="G13" i="63" s="1"/>
  <c r="F9" i="13"/>
  <c r="F148" i="63"/>
  <c r="E146" i="63"/>
  <c r="F146" i="63" s="1"/>
  <c r="F155" i="63"/>
  <c r="F153" i="63"/>
  <c r="I1" i="13"/>
  <c r="F4" i="13" s="1"/>
  <c r="F16" i="31" l="1"/>
  <c r="F7" i="31"/>
  <c r="F8" i="31"/>
  <c r="F18" i="31"/>
  <c r="F34" i="15"/>
  <c r="G34" i="15" s="1"/>
  <c r="H34" i="15" s="1"/>
  <c r="F26" i="15"/>
  <c r="F37" i="15"/>
  <c r="G37" i="15" s="1"/>
  <c r="H37" i="15" s="1"/>
  <c r="F17" i="31"/>
  <c r="F9" i="31"/>
  <c r="F6" i="31"/>
  <c r="F15" i="31"/>
  <c r="F6" i="13"/>
  <c r="H4" i="37"/>
  <c r="H7" i="37" s="1"/>
  <c r="F17" i="15"/>
  <c r="F29" i="15"/>
  <c r="F32" i="15"/>
  <c r="F5" i="15"/>
  <c r="G5" i="15" s="1"/>
  <c r="H5" i="15" s="1"/>
  <c r="F7" i="15"/>
  <c r="G110" i="63"/>
  <c r="G104" i="63"/>
  <c r="G100" i="63"/>
  <c r="G155" i="63"/>
  <c r="I1" i="16"/>
  <c r="I1" i="30"/>
  <c r="F79" i="30" l="1"/>
  <c r="G79" i="30" s="1"/>
  <c r="H79" i="30" s="1"/>
  <c r="F98" i="30"/>
  <c r="G98" i="30" s="1"/>
  <c r="H98" i="30" s="1"/>
  <c r="F82" i="30"/>
  <c r="G82" i="30" s="1"/>
  <c r="H82" i="30" s="1"/>
  <c r="F128" i="30"/>
  <c r="F92" i="30"/>
  <c r="G92" i="30" s="1"/>
  <c r="H92" i="30" s="1"/>
  <c r="F55" i="30"/>
  <c r="G55" i="30" s="1"/>
  <c r="H55" i="30" s="1"/>
  <c r="F50" i="30"/>
  <c r="G50" i="30" s="1"/>
  <c r="H50" i="30" s="1"/>
  <c r="F134" i="30"/>
  <c r="F133" i="30"/>
  <c r="F132" i="30"/>
  <c r="F37" i="30"/>
  <c r="G37" i="30" s="1"/>
  <c r="H37" i="30" s="1"/>
  <c r="F41" i="30"/>
  <c r="G41" i="30" s="1"/>
  <c r="H41" i="30" s="1"/>
  <c r="F17" i="16"/>
  <c r="G17" i="16" s="1"/>
  <c r="H17" i="16" s="1"/>
  <c r="F18" i="16"/>
  <c r="G18" i="16" s="1"/>
  <c r="H18" i="16" s="1"/>
  <c r="F19" i="16"/>
  <c r="G19" i="16" s="1"/>
  <c r="H19" i="16" s="1"/>
  <c r="F8" i="16"/>
  <c r="G8" i="16" s="1"/>
  <c r="H8" i="16" s="1"/>
  <c r="F9" i="16"/>
  <c r="G9" i="16" s="1"/>
  <c r="H9" i="16" s="1"/>
  <c r="F10" i="16"/>
  <c r="G10" i="16" s="1"/>
  <c r="H10" i="16" s="1"/>
  <c r="F16" i="16"/>
  <c r="F7" i="16"/>
  <c r="F22" i="16"/>
  <c r="F113" i="30"/>
  <c r="F114" i="30"/>
  <c r="F115" i="30"/>
  <c r="F112" i="30"/>
  <c r="F84" i="30"/>
  <c r="G84" i="30" s="1"/>
  <c r="H84" i="30" s="1"/>
  <c r="F83" i="30"/>
  <c r="G83" i="30" s="1"/>
  <c r="H83" i="30" s="1"/>
  <c r="F40" i="30"/>
  <c r="F78" i="30"/>
  <c r="G78" i="30" s="1"/>
  <c r="H78" i="30" s="1"/>
  <c r="F126" i="30"/>
  <c r="F39" i="30"/>
  <c r="F17" i="30"/>
  <c r="F49" i="30"/>
  <c r="F76" i="30"/>
  <c r="G76" i="30" s="1"/>
  <c r="H76" i="30" s="1"/>
  <c r="F16" i="30"/>
  <c r="F105" i="30"/>
  <c r="F121" i="30"/>
  <c r="F22" i="30"/>
  <c r="F106" i="30"/>
  <c r="F34" i="30"/>
  <c r="F54" i="30"/>
  <c r="F89" i="30"/>
  <c r="G89" i="30" s="1"/>
  <c r="F107" i="30"/>
  <c r="F97" i="30"/>
  <c r="G97" i="30" s="1"/>
  <c r="F127" i="30"/>
  <c r="F77" i="30"/>
  <c r="G77" i="30" s="1"/>
  <c r="F35" i="30"/>
  <c r="F108" i="30"/>
  <c r="F7" i="30"/>
  <c r="F36" i="30"/>
  <c r="F70" i="30"/>
  <c r="G70" i="30" s="1"/>
  <c r="H70" i="30" s="1"/>
  <c r="F91" i="30"/>
  <c r="G91" i="30" s="1"/>
  <c r="F109" i="30"/>
  <c r="F120" i="30"/>
  <c r="F52" i="30"/>
  <c r="F53" i="30"/>
  <c r="F67" i="30"/>
  <c r="G67" i="30" s="1"/>
  <c r="H67" i="30" s="1"/>
  <c r="F15" i="30"/>
  <c r="F47" i="30"/>
  <c r="F71" i="30"/>
  <c r="G71" i="30" s="1"/>
  <c r="H71" i="30" s="1"/>
  <c r="F95" i="30"/>
  <c r="G95" i="30" s="1"/>
  <c r="F118" i="30"/>
  <c r="F125" i="30"/>
  <c r="F90" i="30"/>
  <c r="G90" i="30" s="1"/>
  <c r="F18" i="30"/>
  <c r="F48" i="30"/>
  <c r="F72" i="30"/>
  <c r="G72" i="30" s="1"/>
  <c r="H72" i="30" s="1"/>
  <c r="F96" i="30"/>
  <c r="G96" i="30" s="1"/>
  <c r="F119" i="30"/>
  <c r="G113" i="63"/>
  <c r="G114" i="63" s="1"/>
  <c r="G115" i="63" s="1"/>
  <c r="E32" i="15" s="1"/>
  <c r="G32" i="15" s="1"/>
  <c r="H32" i="15" s="1"/>
  <c r="F1942" i="63"/>
  <c r="F1940" i="63"/>
  <c r="M1939" i="63"/>
  <c r="L1939" i="63"/>
  <c r="M1940" i="63" s="1"/>
  <c r="O1940" i="63" s="1"/>
  <c r="F1939" i="63"/>
  <c r="F1937" i="63"/>
  <c r="Q1936" i="63"/>
  <c r="N1936" i="63"/>
  <c r="O1936" i="63" s="1"/>
  <c r="Q1935" i="63"/>
  <c r="N1935" i="63"/>
  <c r="O1935" i="63" s="1"/>
  <c r="O1934" i="63"/>
  <c r="M1930" i="63"/>
  <c r="L1930" i="63"/>
  <c r="O1929" i="63"/>
  <c r="O1928" i="63"/>
  <c r="P1928" i="63" s="1"/>
  <c r="P1929" i="63" s="1"/>
  <c r="D1930" i="63" s="1"/>
  <c r="H1926" i="63"/>
  <c r="K1925" i="63"/>
  <c r="H1925" i="63"/>
  <c r="K1924" i="63"/>
  <c r="M1921" i="63"/>
  <c r="O1921" i="63" s="1"/>
  <c r="P1921" i="63" s="1"/>
  <c r="D1909" i="63" s="1"/>
  <c r="F1909" i="63" s="1"/>
  <c r="M1918" i="63"/>
  <c r="M1917" i="63"/>
  <c r="F1917" i="63"/>
  <c r="F1915" i="63"/>
  <c r="N1914" i="63"/>
  <c r="O1914" i="63" s="1"/>
  <c r="F1914" i="63"/>
  <c r="R1913" i="63"/>
  <c r="O1913" i="63"/>
  <c r="R1912" i="63"/>
  <c r="Q1912" i="63"/>
  <c r="Q1913" i="63" s="1"/>
  <c r="N1912" i="63"/>
  <c r="O1912" i="63" s="1"/>
  <c r="F1912" i="63"/>
  <c r="O1911" i="63"/>
  <c r="L1908" i="63"/>
  <c r="M1919" i="63" s="1"/>
  <c r="O1919" i="63" s="1"/>
  <c r="M1907" i="63"/>
  <c r="L1907" i="63"/>
  <c r="L1918" i="63" s="1"/>
  <c r="O1918" i="63" s="1"/>
  <c r="M1906" i="63"/>
  <c r="L1906" i="63"/>
  <c r="O1906" i="63" s="1"/>
  <c r="Q1905" i="63" s="1"/>
  <c r="O1905" i="63"/>
  <c r="O1903" i="63"/>
  <c r="O1902" i="63"/>
  <c r="P1902" i="63" s="1"/>
  <c r="P1903" i="63" s="1"/>
  <c r="D1905" i="63" s="1"/>
  <c r="F1892" i="63"/>
  <c r="F1890" i="63"/>
  <c r="M1889" i="63"/>
  <c r="O1889" i="63" s="1"/>
  <c r="L1889" i="63"/>
  <c r="F1889" i="63"/>
  <c r="F1887" i="63"/>
  <c r="Q1886" i="63"/>
  <c r="N1886" i="63"/>
  <c r="O1886" i="63" s="1"/>
  <c r="Q1885" i="63"/>
  <c r="N1885" i="63"/>
  <c r="O1885" i="63" s="1"/>
  <c r="H1885" i="63"/>
  <c r="O1884" i="63"/>
  <c r="D1883" i="63"/>
  <c r="F1883" i="63" s="1"/>
  <c r="M1880" i="63"/>
  <c r="L1880" i="63"/>
  <c r="O1879" i="63"/>
  <c r="O1878" i="63"/>
  <c r="P1878" i="63" s="1"/>
  <c r="P1879" i="63" s="1"/>
  <c r="D1880" i="63" s="1"/>
  <c r="F1867" i="63"/>
  <c r="F1865" i="63"/>
  <c r="F1862" i="63"/>
  <c r="F1864" i="63" s="1"/>
  <c r="F1860" i="63"/>
  <c r="F1857" i="63"/>
  <c r="F1855" i="63"/>
  <c r="F1851" i="63"/>
  <c r="F1850" i="63"/>
  <c r="E1849" i="63"/>
  <c r="F1849" i="63" s="1"/>
  <c r="F1835" i="63"/>
  <c r="F1830" i="63"/>
  <c r="F1833" i="63" s="1"/>
  <c r="F1828" i="63"/>
  <c r="F1825" i="63"/>
  <c r="F1823" i="63"/>
  <c r="F1821" i="63"/>
  <c r="E1820" i="63"/>
  <c r="F1820" i="63" s="1"/>
  <c r="F1819" i="63"/>
  <c r="E1818" i="63"/>
  <c r="F1818" i="63" s="1"/>
  <c r="E1817" i="63"/>
  <c r="F1817" i="63" s="1"/>
  <c r="F1802" i="63"/>
  <c r="F1797" i="63"/>
  <c r="F1801" i="63" s="1"/>
  <c r="F1796" i="63"/>
  <c r="F1794" i="63"/>
  <c r="F1792" i="63"/>
  <c r="F1791" i="63"/>
  <c r="F1790" i="63"/>
  <c r="F1786" i="63"/>
  <c r="F1785" i="63"/>
  <c r="D1784" i="63"/>
  <c r="F1784" i="63" s="1"/>
  <c r="F1783" i="63"/>
  <c r="E1782" i="63"/>
  <c r="F1782" i="63" s="1"/>
  <c r="F1781" i="63"/>
  <c r="F1780" i="63"/>
  <c r="F1779" i="63"/>
  <c r="F1778" i="63"/>
  <c r="F1777" i="63"/>
  <c r="F1776" i="63"/>
  <c r="F1775" i="63"/>
  <c r="F1763" i="63"/>
  <c r="F1758" i="63"/>
  <c r="F1756" i="63"/>
  <c r="L1753" i="63"/>
  <c r="J1753" i="63"/>
  <c r="K1753" i="63" s="1"/>
  <c r="F1753" i="63"/>
  <c r="F1751" i="63"/>
  <c r="D1749" i="63"/>
  <c r="F1749" i="63" s="1"/>
  <c r="H1747" i="63"/>
  <c r="F1747" i="63"/>
  <c r="E1746" i="63"/>
  <c r="F1746" i="63" s="1"/>
  <c r="F1745" i="63"/>
  <c r="E1744" i="63"/>
  <c r="F1744" i="63" s="1"/>
  <c r="E1743" i="63"/>
  <c r="F1743" i="63" s="1"/>
  <c r="G1735" i="63"/>
  <c r="F1732" i="63"/>
  <c r="F1729" i="63"/>
  <c r="F1728" i="63"/>
  <c r="F1727" i="63"/>
  <c r="F1726" i="63"/>
  <c r="E1725" i="63"/>
  <c r="F1725" i="63" s="1"/>
  <c r="K1720" i="63"/>
  <c r="J1720" i="63"/>
  <c r="I1717" i="63"/>
  <c r="J1717" i="63" s="1"/>
  <c r="J1712" i="63"/>
  <c r="F1658" i="63"/>
  <c r="F1656" i="63"/>
  <c r="F1655" i="63"/>
  <c r="F1654" i="63"/>
  <c r="F1649" i="63"/>
  <c r="F1648" i="63"/>
  <c r="E1646" i="63"/>
  <c r="F1646" i="63" s="1"/>
  <c r="F1630" i="63"/>
  <c r="F1627" i="63"/>
  <c r="F1626" i="63"/>
  <c r="F1624" i="63"/>
  <c r="E1621" i="63"/>
  <c r="F1621" i="63" s="1"/>
  <c r="E1620" i="63"/>
  <c r="F1620" i="63" s="1"/>
  <c r="E1619" i="63"/>
  <c r="F1619" i="63" s="1"/>
  <c r="E1618" i="63"/>
  <c r="F1618" i="63" s="1"/>
  <c r="F1605" i="63"/>
  <c r="F1602" i="63"/>
  <c r="F1604" i="63" s="1"/>
  <c r="F1601" i="63"/>
  <c r="F1599" i="63"/>
  <c r="E1598" i="63"/>
  <c r="F1596" i="63"/>
  <c r="F1595" i="63"/>
  <c r="F1594" i="63"/>
  <c r="F1593" i="63"/>
  <c r="F1577" i="63"/>
  <c r="F1574" i="63"/>
  <c r="F1576" i="63" s="1"/>
  <c r="F1573" i="63"/>
  <c r="F1567" i="63"/>
  <c r="F1566" i="63"/>
  <c r="F1565" i="63"/>
  <c r="F1521" i="63"/>
  <c r="F1518" i="63"/>
  <c r="F1517" i="63"/>
  <c r="F1515" i="63"/>
  <c r="E1514" i="63"/>
  <c r="K1509" i="63"/>
  <c r="K1508" i="63"/>
  <c r="F1496" i="63"/>
  <c r="F1493" i="63"/>
  <c r="F1495" i="63" s="1"/>
  <c r="F1492" i="63"/>
  <c r="F1490" i="63"/>
  <c r="E1489" i="63"/>
  <c r="F1486" i="63"/>
  <c r="F1485" i="63"/>
  <c r="F1484" i="63"/>
  <c r="F1443" i="63"/>
  <c r="F1439" i="63"/>
  <c r="F1438" i="63"/>
  <c r="F1436" i="63"/>
  <c r="E1431" i="63"/>
  <c r="F1431" i="63" s="1"/>
  <c r="I1427" i="63"/>
  <c r="F1426" i="63"/>
  <c r="F1427" i="63" s="1"/>
  <c r="I1424" i="63"/>
  <c r="F1413" i="63"/>
  <c r="F1409" i="63"/>
  <c r="F1408" i="63"/>
  <c r="F1406" i="63"/>
  <c r="E1401" i="63"/>
  <c r="F1401" i="63" s="1"/>
  <c r="E1400" i="63"/>
  <c r="F1400" i="63" s="1"/>
  <c r="E1399" i="63"/>
  <c r="F1399" i="63" s="1"/>
  <c r="F1396" i="63"/>
  <c r="F1397" i="63" s="1"/>
  <c r="I1394" i="63"/>
  <c r="F1379" i="63"/>
  <c r="G1383" i="63" s="1"/>
  <c r="E1371" i="63"/>
  <c r="F1371" i="63" s="1"/>
  <c r="E1370" i="63"/>
  <c r="F1370" i="63" s="1"/>
  <c r="E1369" i="63"/>
  <c r="F1369" i="63" s="1"/>
  <c r="F1366" i="63"/>
  <c r="F1367" i="63" s="1"/>
  <c r="I1364" i="63"/>
  <c r="F1353" i="63"/>
  <c r="F1349" i="63"/>
  <c r="F1348" i="63"/>
  <c r="F1346" i="63"/>
  <c r="E1341" i="63"/>
  <c r="F1341" i="63" s="1"/>
  <c r="E1340" i="63"/>
  <c r="F1340" i="63" s="1"/>
  <c r="I1337" i="63"/>
  <c r="F1336" i="63"/>
  <c r="F1337" i="63" s="1"/>
  <c r="I1334" i="63"/>
  <c r="Y1329" i="63"/>
  <c r="Y1327" i="63"/>
  <c r="T1326" i="63"/>
  <c r="T1322" i="63"/>
  <c r="F1322" i="63"/>
  <c r="T1321" i="63"/>
  <c r="T1319" i="63"/>
  <c r="F1318" i="63"/>
  <c r="F1317" i="63"/>
  <c r="F1315" i="63"/>
  <c r="S1314" i="63"/>
  <c r="T1314" i="63" s="1"/>
  <c r="S1313" i="63"/>
  <c r="T1313" i="63" s="1"/>
  <c r="S1312" i="63"/>
  <c r="T1312" i="63" s="1"/>
  <c r="S1311" i="63"/>
  <c r="T1311" i="63" s="1"/>
  <c r="E1310" i="63"/>
  <c r="F1310" i="63" s="1"/>
  <c r="T1309" i="63"/>
  <c r="T1310" i="63" s="1"/>
  <c r="E1309" i="63"/>
  <c r="F1309" i="63" s="1"/>
  <c r="E1308" i="63"/>
  <c r="F1308" i="63" s="1"/>
  <c r="F1305" i="63"/>
  <c r="F1306" i="63" s="1"/>
  <c r="F1293" i="63"/>
  <c r="F1289" i="63"/>
  <c r="F1288" i="63"/>
  <c r="F1286" i="63"/>
  <c r="E1281" i="63"/>
  <c r="F1281" i="63" s="1"/>
  <c r="E1280" i="63"/>
  <c r="F1280" i="63" s="1"/>
  <c r="E1279" i="63"/>
  <c r="F1279" i="63" s="1"/>
  <c r="F1276" i="63"/>
  <c r="F1263" i="63"/>
  <c r="F1259" i="63"/>
  <c r="F1258" i="63"/>
  <c r="F1256" i="63"/>
  <c r="E1251" i="63"/>
  <c r="F1251" i="63" s="1"/>
  <c r="E1250" i="63"/>
  <c r="F1250" i="63" s="1"/>
  <c r="E1249" i="63"/>
  <c r="F1249" i="63" s="1"/>
  <c r="F1246" i="63"/>
  <c r="F1247" i="63" s="1"/>
  <c r="I1244" i="63"/>
  <c r="F1170" i="63"/>
  <c r="F1166" i="63"/>
  <c r="F1161" i="63"/>
  <c r="E1160" i="63"/>
  <c r="F1160" i="63" s="1"/>
  <c r="F1145" i="63"/>
  <c r="F1141" i="63"/>
  <c r="F1136" i="63"/>
  <c r="E1135" i="63"/>
  <c r="F1135" i="63" s="1"/>
  <c r="F1117" i="63"/>
  <c r="F1113" i="63"/>
  <c r="J1112" i="63"/>
  <c r="K1112" i="63" s="1"/>
  <c r="F1108" i="63"/>
  <c r="E1107" i="63"/>
  <c r="F1107" i="63" s="1"/>
  <c r="I1105" i="63"/>
  <c r="J1105" i="63" s="1"/>
  <c r="I1107" i="63" s="1"/>
  <c r="F1088" i="63"/>
  <c r="F1084" i="63"/>
  <c r="J1083" i="63"/>
  <c r="K1083" i="63" s="1"/>
  <c r="E1078" i="63"/>
  <c r="F1078" i="63" s="1"/>
  <c r="I1076" i="63"/>
  <c r="J1076" i="63" s="1"/>
  <c r="I1078" i="63" s="1"/>
  <c r="I1081" i="63" s="1"/>
  <c r="J1081" i="63" s="1"/>
  <c r="F1055" i="63"/>
  <c r="F1051" i="63"/>
  <c r="J1050" i="63"/>
  <c r="K1050" i="63" s="1"/>
  <c r="F1047" i="63"/>
  <c r="F1046" i="63"/>
  <c r="E1045" i="63"/>
  <c r="F1045" i="63" s="1"/>
  <c r="I1043" i="63"/>
  <c r="J1043" i="63" s="1"/>
  <c r="I1045" i="63" s="1"/>
  <c r="F1020" i="63"/>
  <c r="F1015" i="63"/>
  <c r="F1017" i="63" s="1"/>
  <c r="F1013" i="63"/>
  <c r="E1009" i="63"/>
  <c r="F1009" i="63" s="1"/>
  <c r="E1008" i="63"/>
  <c r="F1008" i="63" s="1"/>
  <c r="F993" i="63"/>
  <c r="F989" i="63"/>
  <c r="F991" i="63" s="1"/>
  <c r="F988" i="63"/>
  <c r="E983" i="63"/>
  <c r="F983" i="63" s="1"/>
  <c r="F964" i="63"/>
  <c r="F966" i="63" s="1"/>
  <c r="G968" i="63" s="1"/>
  <c r="E960" i="63"/>
  <c r="F960" i="63" s="1"/>
  <c r="F959" i="63"/>
  <c r="E958" i="63"/>
  <c r="F958" i="63" s="1"/>
  <c r="F942" i="63"/>
  <c r="F937" i="63"/>
  <c r="F935" i="63"/>
  <c r="E932" i="63"/>
  <c r="F932" i="63" s="1"/>
  <c r="F930" i="63"/>
  <c r="E929" i="63"/>
  <c r="F929" i="63" s="1"/>
  <c r="E928" i="63"/>
  <c r="F928" i="63" s="1"/>
  <c r="F906" i="63"/>
  <c r="F901" i="63"/>
  <c r="F903" i="63" s="1"/>
  <c r="F899" i="63"/>
  <c r="E893" i="63"/>
  <c r="F893" i="63" s="1"/>
  <c r="F853" i="63"/>
  <c r="I849" i="63"/>
  <c r="I850" i="63" s="1"/>
  <c r="F849" i="63"/>
  <c r="F851" i="63" s="1"/>
  <c r="F848" i="63"/>
  <c r="L847" i="63"/>
  <c r="N847" i="63" s="1"/>
  <c r="F846" i="63"/>
  <c r="N845" i="63"/>
  <c r="F845" i="63"/>
  <c r="L843" i="63"/>
  <c r="M843" i="63" s="1"/>
  <c r="N843" i="63" s="1"/>
  <c r="E843" i="63"/>
  <c r="F843" i="63" s="1"/>
  <c r="E842" i="63"/>
  <c r="F842" i="63" s="1"/>
  <c r="I841" i="63"/>
  <c r="I842" i="63" s="1"/>
  <c r="L840" i="63"/>
  <c r="E840" i="63"/>
  <c r="F840" i="63" s="1"/>
  <c r="F841" i="63" s="1"/>
  <c r="I839" i="63"/>
  <c r="J839" i="63" s="1"/>
  <c r="K838" i="63"/>
  <c r="H838" i="63"/>
  <c r="I838" i="63" s="1"/>
  <c r="F822" i="63"/>
  <c r="I817" i="63"/>
  <c r="I819" i="63" s="1"/>
  <c r="F817" i="63"/>
  <c r="F816" i="63"/>
  <c r="L815" i="63"/>
  <c r="N815" i="63" s="1"/>
  <c r="F814" i="63"/>
  <c r="N813" i="63"/>
  <c r="F813" i="63"/>
  <c r="L811" i="63"/>
  <c r="M811" i="63" s="1"/>
  <c r="N811" i="63" s="1"/>
  <c r="E811" i="63"/>
  <c r="F811" i="63" s="1"/>
  <c r="I809" i="63"/>
  <c r="I810" i="63" s="1"/>
  <c r="L808" i="63"/>
  <c r="E808" i="63"/>
  <c r="F808" i="63" s="1"/>
  <c r="F809" i="63" s="1"/>
  <c r="I807" i="63"/>
  <c r="J807" i="63" s="1"/>
  <c r="K806" i="63"/>
  <c r="H806" i="63"/>
  <c r="I806" i="63" s="1"/>
  <c r="F779" i="63"/>
  <c r="F774" i="63"/>
  <c r="F777" i="63" s="1"/>
  <c r="F773" i="63"/>
  <c r="F771" i="63"/>
  <c r="F770" i="63"/>
  <c r="E768" i="63"/>
  <c r="F768" i="63" s="1"/>
  <c r="I765" i="63"/>
  <c r="K765" i="63" s="1"/>
  <c r="E765" i="63"/>
  <c r="F765" i="63" s="1"/>
  <c r="F766" i="63" s="1"/>
  <c r="K764" i="63"/>
  <c r="I754" i="63"/>
  <c r="F749" i="63"/>
  <c r="I744" i="63"/>
  <c r="I745" i="63" s="1"/>
  <c r="F744" i="63"/>
  <c r="F743" i="63"/>
  <c r="L742" i="63"/>
  <c r="N742" i="63" s="1"/>
  <c r="F741" i="63"/>
  <c r="N740" i="63"/>
  <c r="F740" i="63"/>
  <c r="L738" i="63"/>
  <c r="M738" i="63" s="1"/>
  <c r="N738" i="63" s="1"/>
  <c r="E738" i="63"/>
  <c r="F738" i="63" s="1"/>
  <c r="I736" i="63"/>
  <c r="I737" i="63" s="1"/>
  <c r="L735" i="63"/>
  <c r="E735" i="63"/>
  <c r="F735" i="63" s="1"/>
  <c r="F736" i="63" s="1"/>
  <c r="I734" i="63"/>
  <c r="J734" i="63" s="1"/>
  <c r="K733" i="63"/>
  <c r="H733" i="63"/>
  <c r="I733" i="63" s="1"/>
  <c r="F718" i="63"/>
  <c r="F714" i="63"/>
  <c r="F716" i="63" s="1"/>
  <c r="F713" i="63"/>
  <c r="F711" i="63"/>
  <c r="F710" i="63"/>
  <c r="E708" i="63"/>
  <c r="F708" i="63" s="1"/>
  <c r="E705" i="63"/>
  <c r="F705" i="63" s="1"/>
  <c r="F706" i="63" s="1"/>
  <c r="F692" i="63"/>
  <c r="F688" i="63"/>
  <c r="F687" i="63"/>
  <c r="F685" i="63"/>
  <c r="F684" i="63"/>
  <c r="E682" i="63"/>
  <c r="F682" i="63" s="1"/>
  <c r="E679" i="63"/>
  <c r="F679" i="63" s="1"/>
  <c r="F680" i="63" s="1"/>
  <c r="F665" i="63"/>
  <c r="F661" i="63"/>
  <c r="F660" i="63"/>
  <c r="F658" i="63"/>
  <c r="E657" i="63"/>
  <c r="F657" i="63" s="1"/>
  <c r="E654" i="63"/>
  <c r="F654" i="63" s="1"/>
  <c r="F655" i="63" s="1"/>
  <c r="F640" i="63"/>
  <c r="F637" i="63"/>
  <c r="F636" i="63"/>
  <c r="F634" i="63"/>
  <c r="E633" i="63"/>
  <c r="E632" i="63"/>
  <c r="F632" i="63" s="1"/>
  <c r="E630" i="63"/>
  <c r="F630" i="63" s="1"/>
  <c r="F613" i="63"/>
  <c r="F611" i="63"/>
  <c r="F610" i="63"/>
  <c r="F609" i="63"/>
  <c r="F604" i="63"/>
  <c r="F603" i="63"/>
  <c r="F601" i="63"/>
  <c r="F579" i="63"/>
  <c r="F577" i="63"/>
  <c r="F572" i="63"/>
  <c r="F556" i="63"/>
  <c r="F555" i="63"/>
  <c r="E554" i="63"/>
  <c r="F554" i="63" s="1"/>
  <c r="F528" i="63"/>
  <c r="F526" i="63"/>
  <c r="F525" i="63"/>
  <c r="F521" i="63"/>
  <c r="F519" i="63"/>
  <c r="F518" i="63"/>
  <c r="F517" i="63"/>
  <c r="E514" i="63"/>
  <c r="F514" i="63" s="1"/>
  <c r="E512" i="63"/>
  <c r="F512" i="63" s="1"/>
  <c r="E511" i="63"/>
  <c r="F511" i="63" s="1"/>
  <c r="F493" i="63"/>
  <c r="F491" i="63"/>
  <c r="F490" i="63"/>
  <c r="F487" i="63"/>
  <c r="F485" i="63"/>
  <c r="F484" i="63"/>
  <c r="F483" i="63"/>
  <c r="F482" i="63"/>
  <c r="I481" i="63"/>
  <c r="I482" i="63" s="1"/>
  <c r="H481" i="63"/>
  <c r="H480" i="63"/>
  <c r="F479" i="63"/>
  <c r="O478" i="63"/>
  <c r="H478" i="63"/>
  <c r="E478" i="63"/>
  <c r="F478" i="63" s="1"/>
  <c r="O477" i="63"/>
  <c r="H477" i="63"/>
  <c r="E477" i="63"/>
  <c r="F477" i="63" s="1"/>
  <c r="H476" i="63"/>
  <c r="I475" i="63"/>
  <c r="I476" i="63" s="1"/>
  <c r="F475" i="63"/>
  <c r="O473" i="63"/>
  <c r="O474" i="63" s="1"/>
  <c r="F462" i="63"/>
  <c r="F460" i="63"/>
  <c r="F459" i="63"/>
  <c r="F456" i="63"/>
  <c r="F454" i="63"/>
  <c r="F453" i="63"/>
  <c r="F452" i="63"/>
  <c r="F451" i="63"/>
  <c r="I450" i="63"/>
  <c r="I451" i="63" s="1"/>
  <c r="H450" i="63"/>
  <c r="H449" i="63"/>
  <c r="F448" i="63"/>
  <c r="O447" i="63"/>
  <c r="E447" i="63"/>
  <c r="F447" i="63" s="1"/>
  <c r="O446" i="63"/>
  <c r="E446" i="63"/>
  <c r="F446" i="63" s="1"/>
  <c r="F444" i="63"/>
  <c r="D444" i="63"/>
  <c r="H447" i="63" s="1"/>
  <c r="O442" i="63"/>
  <c r="O443" i="63" s="1"/>
  <c r="F430" i="63"/>
  <c r="F428" i="63"/>
  <c r="F427" i="63"/>
  <c r="F424" i="63"/>
  <c r="F422" i="63"/>
  <c r="F421" i="63"/>
  <c r="F420" i="63"/>
  <c r="F419" i="63"/>
  <c r="I418" i="63"/>
  <c r="I417" i="63"/>
  <c r="F416" i="63"/>
  <c r="E415" i="63"/>
  <c r="F415" i="63" s="1"/>
  <c r="E414" i="63"/>
  <c r="F414" i="63" s="1"/>
  <c r="I412" i="63"/>
  <c r="J412" i="63" s="1"/>
  <c r="F412" i="63"/>
  <c r="F399" i="63"/>
  <c r="F397" i="63"/>
  <c r="F396" i="63"/>
  <c r="F393" i="63"/>
  <c r="F391" i="63"/>
  <c r="F390" i="63"/>
  <c r="F389" i="63"/>
  <c r="F388" i="63"/>
  <c r="H387" i="63"/>
  <c r="H386" i="63"/>
  <c r="F385" i="63"/>
  <c r="H384" i="63"/>
  <c r="E384" i="63"/>
  <c r="F384" i="63" s="1"/>
  <c r="H383" i="63"/>
  <c r="E383" i="63"/>
  <c r="F383" i="63" s="1"/>
  <c r="H382" i="63"/>
  <c r="I381" i="63"/>
  <c r="J381" i="63" s="1"/>
  <c r="F381" i="63"/>
  <c r="F365" i="63"/>
  <c r="F363" i="63"/>
  <c r="F362" i="63"/>
  <c r="F359" i="63"/>
  <c r="F357" i="63"/>
  <c r="F355" i="63"/>
  <c r="F352" i="63"/>
  <c r="F335" i="63"/>
  <c r="F333" i="63"/>
  <c r="F332" i="63"/>
  <c r="F329" i="63"/>
  <c r="F327" i="63"/>
  <c r="F325" i="63"/>
  <c r="I320" i="63"/>
  <c r="J320" i="63" s="1"/>
  <c r="F307" i="63"/>
  <c r="F304" i="63"/>
  <c r="F301" i="63"/>
  <c r="F299" i="63"/>
  <c r="F297" i="63"/>
  <c r="F278" i="63"/>
  <c r="F276" i="63"/>
  <c r="F275" i="63"/>
  <c r="F272" i="63"/>
  <c r="F270" i="63"/>
  <c r="F269" i="63"/>
  <c r="F268" i="63"/>
  <c r="F267" i="63"/>
  <c r="E266" i="63"/>
  <c r="F266" i="63" s="1"/>
  <c r="E265" i="63"/>
  <c r="F265" i="63" s="1"/>
  <c r="F246" i="63"/>
  <c r="F245" i="63"/>
  <c r="F240" i="63"/>
  <c r="G242" i="63" s="1"/>
  <c r="E236" i="63"/>
  <c r="F236" i="63" s="1"/>
  <c r="E235" i="63"/>
  <c r="F235" i="63" s="1"/>
  <c r="F220" i="63"/>
  <c r="F218" i="63"/>
  <c r="F217" i="63"/>
  <c r="F214" i="63"/>
  <c r="F212" i="63"/>
  <c r="F211" i="63"/>
  <c r="F210" i="63"/>
  <c r="F209" i="63"/>
  <c r="E208" i="63"/>
  <c r="F208" i="63" s="1"/>
  <c r="E207" i="63"/>
  <c r="F207" i="63" s="1"/>
  <c r="F192" i="63"/>
  <c r="F191" i="63"/>
  <c r="E190" i="63"/>
  <c r="F190" i="63" s="1"/>
  <c r="F133" i="63"/>
  <c r="F131" i="63"/>
  <c r="F130" i="63"/>
  <c r="F129" i="63"/>
  <c r="F128" i="63"/>
  <c r="E125" i="63"/>
  <c r="F125" i="63" s="1"/>
  <c r="F82" i="63"/>
  <c r="F80" i="63"/>
  <c r="F77" i="63"/>
  <c r="F75" i="63"/>
  <c r="F74" i="63"/>
  <c r="F73" i="63"/>
  <c r="F72" i="63"/>
  <c r="F71" i="63"/>
  <c r="E69" i="63"/>
  <c r="F69" i="63" s="1"/>
  <c r="F70" i="63" s="1"/>
  <c r="F52" i="63"/>
  <c r="F50" i="63"/>
  <c r="F47" i="63"/>
  <c r="F45" i="63"/>
  <c r="F43" i="63"/>
  <c r="F42" i="63"/>
  <c r="F41" i="63"/>
  <c r="F27" i="63"/>
  <c r="F25" i="63"/>
  <c r="F24" i="63"/>
  <c r="F11" i="63"/>
  <c r="F9" i="63"/>
  <c r="F8" i="63"/>
  <c r="G163" i="62"/>
  <c r="G162" i="62"/>
  <c r="G161" i="62"/>
  <c r="P155" i="62"/>
  <c r="G154" i="62"/>
  <c r="G153" i="62"/>
  <c r="G149" i="62"/>
  <c r="E147" i="62"/>
  <c r="E931" i="63" s="1"/>
  <c r="F931" i="63" s="1"/>
  <c r="G145" i="62"/>
  <c r="G144" i="62"/>
  <c r="K143" i="62"/>
  <c r="G143" i="62"/>
  <c r="K142" i="62"/>
  <c r="G142" i="62"/>
  <c r="K141" i="62"/>
  <c r="G141" i="62"/>
  <c r="O140" i="62"/>
  <c r="O142" i="62" s="1"/>
  <c r="O139" i="62"/>
  <c r="G139" i="62"/>
  <c r="G138" i="62"/>
  <c r="G137" i="62"/>
  <c r="G117" i="62"/>
  <c r="G116" i="62"/>
  <c r="G113" i="62"/>
  <c r="G112" i="62"/>
  <c r="G111" i="62"/>
  <c r="G110" i="62"/>
  <c r="G109" i="62"/>
  <c r="L61" i="62"/>
  <c r="M41" i="62"/>
  <c r="M42" i="62" s="1"/>
  <c r="E41" i="62"/>
  <c r="Q35" i="62"/>
  <c r="N35" i="62"/>
  <c r="Q33" i="62"/>
  <c r="P33" i="62"/>
  <c r="P35" i="62" s="1"/>
  <c r="O33" i="62"/>
  <c r="O35" i="62" s="1"/>
  <c r="N33" i="62"/>
  <c r="K30" i="62"/>
  <c r="T28" i="62"/>
  <c r="S28" i="62"/>
  <c r="T16" i="62"/>
  <c r="S16" i="62"/>
  <c r="G15" i="62"/>
  <c r="G14" i="62"/>
  <c r="G13" i="62"/>
  <c r="G11" i="62"/>
  <c r="G10" i="62"/>
  <c r="G1942" i="63" l="1"/>
  <c r="F1489" i="63"/>
  <c r="G424" i="63"/>
  <c r="G456" i="63"/>
  <c r="H445" i="63"/>
  <c r="G52" i="63"/>
  <c r="G133" i="63"/>
  <c r="G487" i="63"/>
  <c r="G1496" i="63"/>
  <c r="O1930" i="63"/>
  <c r="Q1930" i="63" s="1"/>
  <c r="G307" i="63"/>
  <c r="G521" i="63"/>
  <c r="G1577" i="63"/>
  <c r="G640" i="63"/>
  <c r="G1055" i="63"/>
  <c r="G1443" i="63"/>
  <c r="G718" i="63"/>
  <c r="L809" i="63"/>
  <c r="L841" i="63"/>
  <c r="G1170" i="63"/>
  <c r="G1263" i="63"/>
  <c r="G1293" i="63"/>
  <c r="F904" i="63"/>
  <c r="G906" i="63" s="1"/>
  <c r="G82" i="63"/>
  <c r="G335" i="63"/>
  <c r="G1117" i="63"/>
  <c r="G1658" i="63"/>
  <c r="O449" i="63"/>
  <c r="G248" i="63"/>
  <c r="G493" i="63"/>
  <c r="G1088" i="63"/>
  <c r="G1605" i="63"/>
  <c r="G1892" i="63"/>
  <c r="G359" i="63"/>
  <c r="G853" i="63"/>
  <c r="G365" i="63"/>
  <c r="G329" i="63"/>
  <c r="G528" i="63"/>
  <c r="G1413" i="63"/>
  <c r="F1598" i="63"/>
  <c r="G1600" i="63" s="1"/>
  <c r="G1608" i="63" s="1"/>
  <c r="G1609" i="63" s="1"/>
  <c r="L1881" i="63"/>
  <c r="M1892" i="63" s="1"/>
  <c r="O1892" i="63" s="1"/>
  <c r="P1892" i="63" s="1"/>
  <c r="D1884" i="63" s="1"/>
  <c r="F1884" i="63" s="1"/>
  <c r="G1917" i="63"/>
  <c r="G77" i="63"/>
  <c r="G301" i="63"/>
  <c r="G393" i="63"/>
  <c r="F1569" i="63"/>
  <c r="G1572" i="63" s="1"/>
  <c r="G73" i="63"/>
  <c r="O1915" i="63"/>
  <c r="P1915" i="63" s="1"/>
  <c r="D1907" i="63" s="1"/>
  <c r="O1922" i="63"/>
  <c r="G1145" i="63"/>
  <c r="L1931" i="63"/>
  <c r="M1942" i="63" s="1"/>
  <c r="O1942" i="63" s="1"/>
  <c r="P1942" i="63" s="1"/>
  <c r="D1934" i="63" s="1"/>
  <c r="F1934" i="63" s="1"/>
  <c r="G11" i="63"/>
  <c r="G47" i="63"/>
  <c r="G430" i="63"/>
  <c r="H446" i="63"/>
  <c r="F560" i="63"/>
  <c r="F562" i="63" s="1"/>
  <c r="O1880" i="63"/>
  <c r="G1353" i="63"/>
  <c r="L736" i="63"/>
  <c r="O480" i="63"/>
  <c r="O1908" i="63"/>
  <c r="G27" i="63"/>
  <c r="G31" i="63" s="1"/>
  <c r="G32" i="63" s="1"/>
  <c r="E17" i="15" s="1"/>
  <c r="G220" i="63"/>
  <c r="G613" i="63"/>
  <c r="F1018" i="63"/>
  <c r="G1020" i="63" s="1"/>
  <c r="G1322" i="63"/>
  <c r="O1939" i="63"/>
  <c r="P1940" i="63" s="1"/>
  <c r="F1731" i="63"/>
  <c r="G129" i="63"/>
  <c r="G272" i="63"/>
  <c r="G579" i="63"/>
  <c r="I767" i="63"/>
  <c r="I768" i="63" s="1"/>
  <c r="J768" i="63" s="1"/>
  <c r="I771" i="63" s="1"/>
  <c r="K771" i="63" s="1"/>
  <c r="F1832" i="63"/>
  <c r="G1835" i="63" s="1"/>
  <c r="G399" i="63"/>
  <c r="J838" i="63"/>
  <c r="L838" i="63"/>
  <c r="M838" i="63" s="1"/>
  <c r="I414" i="63"/>
  <c r="I413" i="63"/>
  <c r="L733" i="63"/>
  <c r="M733" i="63" s="1"/>
  <c r="J733" i="63"/>
  <c r="L806" i="63"/>
  <c r="M806" i="63" s="1"/>
  <c r="J806" i="63"/>
  <c r="I1048" i="63"/>
  <c r="J1048" i="63" s="1"/>
  <c r="I1047" i="63"/>
  <c r="J1047" i="63" s="1"/>
  <c r="G278" i="63"/>
  <c r="F663" i="63"/>
  <c r="G665" i="63" s="1"/>
  <c r="F939" i="63"/>
  <c r="F940" i="63"/>
  <c r="U1326" i="63"/>
  <c r="F1520" i="63"/>
  <c r="G1521" i="63" s="1"/>
  <c r="M1890" i="63"/>
  <c r="O1890" i="63" s="1"/>
  <c r="P1890" i="63" s="1"/>
  <c r="O1904" i="63"/>
  <c r="F746" i="63"/>
  <c r="F1629" i="63"/>
  <c r="G1630" i="63" s="1"/>
  <c r="F690" i="63"/>
  <c r="G692" i="63" s="1"/>
  <c r="F747" i="63"/>
  <c r="F776" i="63"/>
  <c r="G779" i="63" s="1"/>
  <c r="F1760" i="63"/>
  <c r="F1800" i="63"/>
  <c r="G1802" i="63" s="1"/>
  <c r="F196" i="63"/>
  <c r="F197" i="63" s="1"/>
  <c r="E1459" i="63" s="1"/>
  <c r="F1459" i="63" s="1"/>
  <c r="G1466" i="63" s="1"/>
  <c r="G1475" i="63" s="1"/>
  <c r="G1476" i="63" s="1"/>
  <c r="G1477" i="63" s="1"/>
  <c r="G462" i="63"/>
  <c r="F1761" i="63"/>
  <c r="G1795" i="63"/>
  <c r="L1917" i="63"/>
  <c r="O1917" i="63" s="1"/>
  <c r="O1920" i="63" s="1"/>
  <c r="D1910" i="63" s="1"/>
  <c r="G43" i="63"/>
  <c r="G214" i="63"/>
  <c r="G1867" i="63"/>
  <c r="O1887" i="63"/>
  <c r="P1887" i="63" s="1"/>
  <c r="D1882" i="63" s="1"/>
  <c r="O1937" i="63"/>
  <c r="P1937" i="63" s="1"/>
  <c r="D1932" i="63" s="1"/>
  <c r="G1827" i="63"/>
  <c r="I1110" i="63"/>
  <c r="J1110" i="63" s="1"/>
  <c r="I1109" i="63"/>
  <c r="J1109" i="63" s="1"/>
  <c r="F1277" i="63"/>
  <c r="F1623" i="63"/>
  <c r="G1625" i="63" s="1"/>
  <c r="G1491" i="63"/>
  <c r="G1755" i="63"/>
  <c r="G1347" i="63"/>
  <c r="F819" i="63"/>
  <c r="G847" i="63"/>
  <c r="G856" i="63" s="1"/>
  <c r="G857" i="63" s="1"/>
  <c r="G858" i="63" s="1"/>
  <c r="U1320" i="63"/>
  <c r="F820" i="63"/>
  <c r="G993" i="63"/>
  <c r="F1514" i="63"/>
  <c r="G1516" i="63" s="1"/>
  <c r="O1907" i="63"/>
  <c r="I1080" i="63"/>
  <c r="J1080" i="63" s="1"/>
  <c r="G1499" i="63" l="1"/>
  <c r="G1500" i="63" s="1"/>
  <c r="E7" i="20" s="1"/>
  <c r="G136" i="63"/>
  <c r="G137" i="63" s="1"/>
  <c r="O1881" i="63"/>
  <c r="O1882" i="63" s="1"/>
  <c r="P1882" i="63" s="1"/>
  <c r="O1941" i="63"/>
  <c r="D1935" i="63" s="1"/>
  <c r="G1580" i="63"/>
  <c r="G1581" i="63" s="1"/>
  <c r="G1582" i="63" s="1"/>
  <c r="E1853" i="63" s="1"/>
  <c r="F1853" i="63" s="1"/>
  <c r="G1859" i="63" s="1"/>
  <c r="G1870" i="63" s="1"/>
  <c r="G1871" i="63" s="1"/>
  <c r="G1872" i="63" s="1"/>
  <c r="O1931" i="63"/>
  <c r="O1932" i="63" s="1"/>
  <c r="P1932" i="63" s="1"/>
  <c r="U1329" i="63"/>
  <c r="G749" i="63"/>
  <c r="D1936" i="63"/>
  <c r="F1936" i="63" s="1"/>
  <c r="G85" i="63"/>
  <c r="G86" i="63" s="1"/>
  <c r="G87" i="63" s="1"/>
  <c r="G1356" i="63"/>
  <c r="G1357" i="63" s="1"/>
  <c r="G1358" i="63" s="1"/>
  <c r="G17" i="15"/>
  <c r="H17" i="15" s="1"/>
  <c r="G15" i="63"/>
  <c r="G16" i="63" s="1"/>
  <c r="G17" i="63" s="1"/>
  <c r="E7" i="15" s="1"/>
  <c r="G7" i="15" s="1"/>
  <c r="G942" i="63"/>
  <c r="E681" i="63"/>
  <c r="F681" i="63" s="1"/>
  <c r="G686" i="63" s="1"/>
  <c r="G695" i="63" s="1"/>
  <c r="G696" i="63" s="1"/>
  <c r="G697" i="63" s="1"/>
  <c r="E145" i="63"/>
  <c r="F145" i="63" s="1"/>
  <c r="G151" i="63" s="1"/>
  <c r="G158" i="63" s="1"/>
  <c r="G159" i="63" s="1"/>
  <c r="E382" i="63"/>
  <c r="F382" i="63" s="1"/>
  <c r="G55" i="63"/>
  <c r="G56" i="63" s="1"/>
  <c r="G57" i="63" s="1"/>
  <c r="E234" i="63"/>
  <c r="F234" i="63" s="1"/>
  <c r="G238" i="63" s="1"/>
  <c r="E1880" i="63" s="1"/>
  <c r="E1398" i="63"/>
  <c r="F1398" i="63" s="1"/>
  <c r="G1407" i="63" s="1"/>
  <c r="G1416" i="63" s="1"/>
  <c r="G1417" i="63" s="1"/>
  <c r="G1418" i="63" s="1"/>
  <c r="E264" i="63"/>
  <c r="F264" i="63" s="1"/>
  <c r="G268" i="63" s="1"/>
  <c r="G281" i="63" s="1"/>
  <c r="G282" i="63" s="1"/>
  <c r="G48" i="30" s="1"/>
  <c r="G138" i="63"/>
  <c r="E6" i="13"/>
  <c r="G6" i="13" s="1"/>
  <c r="H6" i="13" s="1"/>
  <c r="E476" i="63"/>
  <c r="F476" i="63" s="1"/>
  <c r="E413" i="63"/>
  <c r="F413" i="63" s="1"/>
  <c r="I770" i="63"/>
  <c r="K770" i="63" s="1"/>
  <c r="E1007" i="63"/>
  <c r="F1007" i="63" s="1"/>
  <c r="G1012" i="63" s="1"/>
  <c r="G1023" i="63" s="1"/>
  <c r="G822" i="63"/>
  <c r="E982" i="63"/>
  <c r="F982" i="63" s="1"/>
  <c r="G987" i="63" s="1"/>
  <c r="G996" i="63" s="1"/>
  <c r="G997" i="63" s="1"/>
  <c r="G998" i="63" s="1"/>
  <c r="E892" i="63"/>
  <c r="F892" i="63" s="1"/>
  <c r="E1368" i="63"/>
  <c r="F1368" i="63" s="1"/>
  <c r="G1377" i="63" s="1"/>
  <c r="G1386" i="63" s="1"/>
  <c r="G1387" i="63" s="1"/>
  <c r="G1388" i="63" s="1"/>
  <c r="D1886" i="63"/>
  <c r="F1886" i="63" s="1"/>
  <c r="Q1880" i="63"/>
  <c r="E1248" i="63"/>
  <c r="F1248" i="63" s="1"/>
  <c r="G1257" i="63" s="1"/>
  <c r="G1266" i="63" s="1"/>
  <c r="E957" i="63"/>
  <c r="F957" i="63" s="1"/>
  <c r="G962" i="63" s="1"/>
  <c r="G971" i="63" s="1"/>
  <c r="G972" i="63" s="1"/>
  <c r="E12" i="19" s="1"/>
  <c r="G1838" i="63"/>
  <c r="G1839" i="63" s="1"/>
  <c r="G1840" i="63" s="1"/>
  <c r="G1763" i="63"/>
  <c r="G1766" i="63" s="1"/>
  <c r="G1767" i="63" s="1"/>
  <c r="G1768" i="63" s="1"/>
  <c r="E767" i="63"/>
  <c r="F767" i="63" s="1"/>
  <c r="G772" i="63" s="1"/>
  <c r="G782" i="63" s="1"/>
  <c r="G783" i="63" s="1"/>
  <c r="G784" i="63" s="1"/>
  <c r="E737" i="63"/>
  <c r="F737" i="63" s="1"/>
  <c r="G742" i="63" s="1"/>
  <c r="G752" i="63" s="1"/>
  <c r="G753" i="63" s="1"/>
  <c r="G754" i="63" s="1"/>
  <c r="E1159" i="63"/>
  <c r="F1159" i="63" s="1"/>
  <c r="G1164" i="63" s="1"/>
  <c r="G1173" i="63" s="1"/>
  <c r="G1174" i="63" s="1"/>
  <c r="G1175" i="63" s="1"/>
  <c r="E1077" i="63"/>
  <c r="F1077" i="63" s="1"/>
  <c r="G1082" i="63" s="1"/>
  <c r="G1091" i="63" s="1"/>
  <c r="G1092" i="63" s="1"/>
  <c r="G1093" i="63" s="1"/>
  <c r="F561" i="63"/>
  <c r="E570" i="63" s="1"/>
  <c r="F570" i="63" s="1"/>
  <c r="F571" i="63" s="1"/>
  <c r="E513" i="63"/>
  <c r="F513" i="63" s="1"/>
  <c r="G517" i="63" s="1"/>
  <c r="G531" i="63" s="1"/>
  <c r="G532" i="63" s="1"/>
  <c r="G533" i="63" s="1"/>
  <c r="E1278" i="63"/>
  <c r="F1278" i="63" s="1"/>
  <c r="G1287" i="63" s="1"/>
  <c r="G1296" i="63" s="1"/>
  <c r="E1044" i="63"/>
  <c r="F1044" i="63" s="1"/>
  <c r="G1049" i="63" s="1"/>
  <c r="G1058" i="63" s="1"/>
  <c r="G1059" i="63" s="1"/>
  <c r="E1430" i="63"/>
  <c r="F1430" i="63" s="1"/>
  <c r="G1437" i="63" s="1"/>
  <c r="G1446" i="63" s="1"/>
  <c r="G1447" i="63" s="1"/>
  <c r="G1448" i="63" s="1"/>
  <c r="G1805" i="63"/>
  <c r="G1806" i="63" s="1"/>
  <c r="G1807" i="63" s="1"/>
  <c r="G1808" i="63" s="1"/>
  <c r="G1524" i="63"/>
  <c r="G1525" i="63" s="1"/>
  <c r="G1633" i="63"/>
  <c r="G1634" i="63" s="1"/>
  <c r="E206" i="63"/>
  <c r="F206" i="63" s="1"/>
  <c r="G210" i="63" s="1"/>
  <c r="G223" i="63" s="1"/>
  <c r="G224" i="63" s="1"/>
  <c r="G225" i="63" s="1"/>
  <c r="E445" i="63"/>
  <c r="F445" i="63" s="1"/>
  <c r="E1645" i="63"/>
  <c r="F1645" i="63" s="1"/>
  <c r="F1650" i="63" s="1"/>
  <c r="G1653" i="63" s="1"/>
  <c r="G1661" i="63" s="1"/>
  <c r="G1662" i="63" s="1"/>
  <c r="G1663" i="63" s="1"/>
  <c r="E1307" i="63"/>
  <c r="F1307" i="63" s="1"/>
  <c r="G1316" i="63" s="1"/>
  <c r="G1325" i="63" s="1"/>
  <c r="G1326" i="63" s="1"/>
  <c r="E656" i="63"/>
  <c r="F656" i="63" s="1"/>
  <c r="G659" i="63" s="1"/>
  <c r="G668" i="63" s="1"/>
  <c r="G669" i="63" s="1"/>
  <c r="G7" i="16" s="1"/>
  <c r="H7" i="16" s="1"/>
  <c r="E631" i="63"/>
  <c r="F631" i="63" s="1"/>
  <c r="G635" i="63" s="1"/>
  <c r="G643" i="63" s="1"/>
  <c r="G644" i="63" s="1"/>
  <c r="E22" i="16" s="1"/>
  <c r="G22" i="16" s="1"/>
  <c r="H22" i="16" s="1"/>
  <c r="E810" i="63"/>
  <c r="F810" i="63" s="1"/>
  <c r="G815" i="63" s="1"/>
  <c r="E1134" i="63"/>
  <c r="F1134" i="63" s="1"/>
  <c r="G1139" i="63" s="1"/>
  <c r="G1148" i="63" s="1"/>
  <c r="G1149" i="63" s="1"/>
  <c r="E707" i="63"/>
  <c r="F707" i="63" s="1"/>
  <c r="G712" i="63" s="1"/>
  <c r="G721" i="63" s="1"/>
  <c r="E600" i="63"/>
  <c r="F600" i="63" s="1"/>
  <c r="F605" i="63" s="1"/>
  <c r="G608" i="63" s="1"/>
  <c r="G616" i="63" s="1"/>
  <c r="G617" i="63" s="1"/>
  <c r="G618" i="63" s="1"/>
  <c r="E1106" i="63"/>
  <c r="F1106" i="63" s="1"/>
  <c r="G1111" i="63" s="1"/>
  <c r="G1120" i="63" s="1"/>
  <c r="G1121" i="63" s="1"/>
  <c r="G1122" i="63" s="1"/>
  <c r="E927" i="63"/>
  <c r="F927" i="63" s="1"/>
  <c r="G934" i="63" s="1"/>
  <c r="P1919" i="63"/>
  <c r="O1891" i="63"/>
  <c r="D1885" i="63" s="1"/>
  <c r="D1911" i="63"/>
  <c r="F1911" i="63" s="1"/>
  <c r="O1909" i="63"/>
  <c r="E480" i="63"/>
  <c r="F480" i="63" s="1"/>
  <c r="E417" i="63"/>
  <c r="F417" i="63" s="1"/>
  <c r="E386" i="63"/>
  <c r="F386" i="63" s="1"/>
  <c r="E449" i="63"/>
  <c r="F449" i="63" s="1"/>
  <c r="E18" i="31" l="1"/>
  <c r="E9" i="31"/>
  <c r="E17" i="31" s="1"/>
  <c r="E7" i="31"/>
  <c r="E16" i="31" s="1"/>
  <c r="E8" i="31"/>
  <c r="G8" i="31" s="1"/>
  <c r="H8" i="31" s="1"/>
  <c r="G1327" i="63"/>
  <c r="G31" i="42"/>
  <c r="H31" i="42" s="1"/>
  <c r="G32" i="42"/>
  <c r="H32" i="42" s="1"/>
  <c r="E14" i="19"/>
  <c r="E15" i="19"/>
  <c r="E13" i="19"/>
  <c r="G1501" i="63"/>
  <c r="G1150" i="63"/>
  <c r="G16" i="16"/>
  <c r="H16" i="16" s="1"/>
  <c r="H28" i="16" s="1"/>
  <c r="E26" i="15"/>
  <c r="G26" i="15" s="1"/>
  <c r="H26" i="15" s="1"/>
  <c r="G29" i="15"/>
  <c r="H29" i="15" s="1"/>
  <c r="E20" i="20"/>
  <c r="G23" i="20" s="1"/>
  <c r="H23" i="20" s="1"/>
  <c r="D1933" i="63"/>
  <c r="F1933" i="63" s="1"/>
  <c r="G945" i="63"/>
  <c r="G946" i="63" s="1"/>
  <c r="G947" i="63" s="1"/>
  <c r="E46" i="66"/>
  <c r="E49" i="66" s="1"/>
  <c r="E98" i="66" s="1"/>
  <c r="G98" i="66" s="1"/>
  <c r="H98" i="66" s="1"/>
  <c r="E8" i="20"/>
  <c r="E9" i="20"/>
  <c r="G9" i="20" s="1"/>
  <c r="G7" i="20"/>
  <c r="G825" i="63"/>
  <c r="G826" i="63" s="1"/>
  <c r="G827" i="63" s="1"/>
  <c r="G1526" i="63"/>
  <c r="G898" i="63"/>
  <c r="G909" i="63" s="1"/>
  <c r="G910" i="63" s="1"/>
  <c r="G911" i="63" s="1"/>
  <c r="G973" i="63"/>
  <c r="G1267" i="63"/>
  <c r="E26" i="66" s="1"/>
  <c r="G1025" i="63"/>
  <c r="G9" i="19"/>
  <c r="H9" i="19" s="1"/>
  <c r="H56" i="19" s="1"/>
  <c r="G1297" i="63"/>
  <c r="E32" i="66" s="1"/>
  <c r="E320" i="63"/>
  <c r="F320" i="63" s="1"/>
  <c r="F322" i="63" s="1"/>
  <c r="G325" i="63" s="1"/>
  <c r="G338" i="63" s="1"/>
  <c r="G339" i="63" s="1"/>
  <c r="G340" i="63" s="1"/>
  <c r="G1060" i="63"/>
  <c r="E9" i="13"/>
  <c r="G9" i="13" s="1"/>
  <c r="H9" i="13" s="1"/>
  <c r="G160" i="63"/>
  <c r="G4" i="13"/>
  <c r="H4" i="13" s="1"/>
  <c r="G54" i="30"/>
  <c r="H54" i="30" s="1"/>
  <c r="G251" i="63"/>
  <c r="G254" i="63" s="1"/>
  <c r="E348" i="63"/>
  <c r="F348" i="63" s="1"/>
  <c r="F350" i="63" s="1"/>
  <c r="G355" i="63" s="1"/>
  <c r="G368" i="63" s="1"/>
  <c r="G369" i="63" s="1"/>
  <c r="G370" i="63" s="1"/>
  <c r="G389" i="63"/>
  <c r="G402" i="63" s="1"/>
  <c r="G403" i="63" s="1"/>
  <c r="G404" i="63" s="1"/>
  <c r="G483" i="63"/>
  <c r="G496" i="63" s="1"/>
  <c r="G497" i="63" s="1"/>
  <c r="G498" i="63" s="1"/>
  <c r="G36" i="30"/>
  <c r="H36" i="30" s="1"/>
  <c r="G49" i="30"/>
  <c r="G52" i="30"/>
  <c r="E15" i="30"/>
  <c r="G53" i="30"/>
  <c r="E292" i="63"/>
  <c r="F292" i="63" s="1"/>
  <c r="F294" i="63" s="1"/>
  <c r="G297" i="63" s="1"/>
  <c r="G310" i="63" s="1"/>
  <c r="G311" i="63" s="1"/>
  <c r="G420" i="63"/>
  <c r="G433" i="63" s="1"/>
  <c r="G434" i="63" s="1"/>
  <c r="G435" i="63" s="1"/>
  <c r="G6" i="31"/>
  <c r="H6" i="31" s="1"/>
  <c r="G452" i="63"/>
  <c r="G465" i="63" s="1"/>
  <c r="G466" i="63" s="1"/>
  <c r="G467" i="63" s="1"/>
  <c r="G723" i="63"/>
  <c r="G670" i="63"/>
  <c r="G575" i="63"/>
  <c r="E1905" i="63"/>
  <c r="F1880" i="63"/>
  <c r="D1908" i="63"/>
  <c r="F1908" i="63" s="1"/>
  <c r="P1909" i="63"/>
  <c r="H55" i="42" l="1"/>
  <c r="C18" i="29" s="1"/>
  <c r="G46" i="66"/>
  <c r="H46" i="66" s="1"/>
  <c r="G49" i="66"/>
  <c r="H49" i="66" s="1"/>
  <c r="E48" i="66"/>
  <c r="E47" i="66"/>
  <c r="E27" i="66"/>
  <c r="E29" i="66"/>
  <c r="G29" i="66" s="1"/>
  <c r="H29" i="66" s="1"/>
  <c r="G32" i="66"/>
  <c r="H32" i="66" s="1"/>
  <c r="E35" i="66"/>
  <c r="G35" i="66" s="1"/>
  <c r="H35" i="66" s="1"/>
  <c r="E34" i="66"/>
  <c r="G34" i="66" s="1"/>
  <c r="H34" i="66" s="1"/>
  <c r="E33" i="66"/>
  <c r="G33" i="66" s="1"/>
  <c r="H33" i="66" s="1"/>
  <c r="E28" i="66"/>
  <c r="G28" i="66" s="1"/>
  <c r="H28" i="66" s="1"/>
  <c r="G15" i="31"/>
  <c r="H15" i="31" s="1"/>
  <c r="G18" i="31"/>
  <c r="H18" i="31" s="1"/>
  <c r="G7" i="31"/>
  <c r="H7" i="31" s="1"/>
  <c r="G15" i="30"/>
  <c r="H15" i="30" s="1"/>
  <c r="E18" i="30"/>
  <c r="G18" i="30" s="1"/>
  <c r="E17" i="30"/>
  <c r="G17" i="30" s="1"/>
  <c r="H17" i="30" s="1"/>
  <c r="E16" i="30"/>
  <c r="G16" i="30" s="1"/>
  <c r="H16" i="30" s="1"/>
  <c r="H11" i="13"/>
  <c r="G8" i="20"/>
  <c r="E10" i="20"/>
  <c r="G10" i="20" s="1"/>
  <c r="H10" i="20" s="1"/>
  <c r="G22" i="20"/>
  <c r="H22" i="20" s="1"/>
  <c r="G20" i="20"/>
  <c r="H20" i="20" s="1"/>
  <c r="G14" i="66"/>
  <c r="H14" i="66" s="1"/>
  <c r="G21" i="20"/>
  <c r="H21" i="20" s="1"/>
  <c r="G13" i="19"/>
  <c r="H13" i="19" s="1"/>
  <c r="E1885" i="63"/>
  <c r="E26" i="19"/>
  <c r="E29" i="19" s="1"/>
  <c r="G29" i="19" s="1"/>
  <c r="H29" i="19" s="1"/>
  <c r="G26" i="66"/>
  <c r="H26" i="66" s="1"/>
  <c r="G90" i="66"/>
  <c r="H90" i="66" s="1"/>
  <c r="G40" i="66"/>
  <c r="H40" i="66" s="1"/>
  <c r="G1268" i="63"/>
  <c r="G27" i="66" s="1"/>
  <c r="H27" i="66" s="1"/>
  <c r="G1298" i="63"/>
  <c r="G41" i="19"/>
  <c r="H41" i="19" s="1"/>
  <c r="G15" i="19"/>
  <c r="H15" i="19" s="1"/>
  <c r="G14" i="19"/>
  <c r="H14" i="19" s="1"/>
  <c r="G12" i="19"/>
  <c r="H12" i="19" s="1"/>
  <c r="G35" i="30"/>
  <c r="H35" i="30" s="1"/>
  <c r="G40" i="30"/>
  <c r="H40" i="30" s="1"/>
  <c r="G34" i="30"/>
  <c r="H34" i="30" s="1"/>
  <c r="G39" i="30"/>
  <c r="H39" i="30" s="1"/>
  <c r="G252" i="63"/>
  <c r="E22" i="30" s="1"/>
  <c r="G253" i="63"/>
  <c r="G47" i="30"/>
  <c r="G16" i="31"/>
  <c r="H16" i="31" s="1"/>
  <c r="G9" i="31"/>
  <c r="H9" i="31" s="1"/>
  <c r="G17" i="31"/>
  <c r="H17" i="31" s="1"/>
  <c r="G312" i="63"/>
  <c r="H584" i="63"/>
  <c r="H585" i="63" s="1"/>
  <c r="H586" i="63" s="1"/>
  <c r="E1882" i="63" s="1"/>
  <c r="G584" i="63"/>
  <c r="G585" i="63" s="1"/>
  <c r="G586" i="63" s="1"/>
  <c r="E105" i="30" s="1"/>
  <c r="E1930" i="63"/>
  <c r="F1930" i="63" s="1"/>
  <c r="F1905" i="63"/>
  <c r="F1881" i="63"/>
  <c r="E118" i="30" l="1"/>
  <c r="E112" i="30"/>
  <c r="E125" i="30"/>
  <c r="G105" i="30"/>
  <c r="H20" i="31"/>
  <c r="C11" i="29" s="1"/>
  <c r="G47" i="66"/>
  <c r="H47" i="66" s="1"/>
  <c r="H115" i="66" s="1"/>
  <c r="E96" i="66"/>
  <c r="G96" i="66" s="1"/>
  <c r="H96" i="66" s="1"/>
  <c r="G48" i="66"/>
  <c r="H48" i="66" s="1"/>
  <c r="E97" i="66"/>
  <c r="G97" i="66" s="1"/>
  <c r="H97" i="66" s="1"/>
  <c r="G22" i="30"/>
  <c r="H22" i="30" s="1"/>
  <c r="G7" i="30"/>
  <c r="H7" i="30" s="1"/>
  <c r="G14" i="20"/>
  <c r="H14" i="20" s="1"/>
  <c r="G26" i="19"/>
  <c r="H26" i="19" s="1"/>
  <c r="E27" i="19"/>
  <c r="G27" i="19" s="1"/>
  <c r="H27" i="19" s="1"/>
  <c r="E28" i="19"/>
  <c r="G28" i="19" s="1"/>
  <c r="H28" i="19" s="1"/>
  <c r="E1910" i="63"/>
  <c r="F1885" i="63"/>
  <c r="E113" i="30"/>
  <c r="G113" i="30" s="1"/>
  <c r="H113" i="30" s="1"/>
  <c r="E109" i="30"/>
  <c r="E114" i="30"/>
  <c r="G114" i="30" s="1"/>
  <c r="H114" i="30" s="1"/>
  <c r="E115" i="30"/>
  <c r="G115" i="30" s="1"/>
  <c r="H115" i="30" s="1"/>
  <c r="E106" i="30"/>
  <c r="G106" i="30" s="1"/>
  <c r="H106" i="30" s="1"/>
  <c r="E1907" i="63"/>
  <c r="F1882" i="63"/>
  <c r="F1906" i="63"/>
  <c r="F1931" i="63"/>
  <c r="G125" i="30" l="1"/>
  <c r="H125" i="30" s="1"/>
  <c r="E127" i="30"/>
  <c r="E126" i="30"/>
  <c r="G126" i="30" s="1"/>
  <c r="H126" i="30" s="1"/>
  <c r="E128" i="30"/>
  <c r="G128" i="30" s="1"/>
  <c r="H128" i="30" s="1"/>
  <c r="G112" i="30"/>
  <c r="H112" i="30" s="1"/>
  <c r="E132" i="30"/>
  <c r="E120" i="30"/>
  <c r="G120" i="30" s="1"/>
  <c r="G118" i="30"/>
  <c r="E121" i="30"/>
  <c r="E119" i="30"/>
  <c r="C13" i="29"/>
  <c r="G16" i="20"/>
  <c r="H16" i="20" s="1"/>
  <c r="G15" i="20"/>
  <c r="H15" i="20" s="1"/>
  <c r="G1888" i="63"/>
  <c r="G1895" i="63" s="1"/>
  <c r="G1896" i="63" s="1"/>
  <c r="G1897" i="63" s="1"/>
  <c r="E1935" i="63"/>
  <c r="F1935" i="63" s="1"/>
  <c r="F1910" i="63"/>
  <c r="G121" i="30"/>
  <c r="H121" i="30" s="1"/>
  <c r="H105" i="30"/>
  <c r="E108" i="30"/>
  <c r="G108" i="30" s="1"/>
  <c r="H108" i="30" s="1"/>
  <c r="G119" i="30"/>
  <c r="E107" i="30"/>
  <c r="G107" i="30" s="1"/>
  <c r="H107" i="30" s="1"/>
  <c r="G109" i="30"/>
  <c r="E1932" i="63"/>
  <c r="F1932" i="63" s="1"/>
  <c r="F1907" i="63"/>
  <c r="G132" i="30" l="1"/>
  <c r="H132" i="30" s="1"/>
  <c r="E134" i="30"/>
  <c r="E133" i="30"/>
  <c r="G133" i="30" s="1"/>
  <c r="H133" i="30" s="1"/>
  <c r="G1913" i="63"/>
  <c r="G1920" i="63" s="1"/>
  <c r="G1921" i="63" s="1"/>
  <c r="G1922" i="63" s="1"/>
  <c r="G1938" i="63"/>
  <c r="G1945" i="63" s="1"/>
  <c r="G1946" i="63" s="1"/>
  <c r="G1947" i="63" s="1"/>
  <c r="G134" i="30"/>
  <c r="H134" i="30" s="1"/>
  <c r="G127" i="30"/>
  <c r="H127" i="30" s="1"/>
  <c r="H118" i="30"/>
  <c r="I427" i="12"/>
  <c r="I434" i="12"/>
  <c r="I430" i="12"/>
  <c r="I431" i="12"/>
  <c r="H427" i="12"/>
  <c r="H428" i="12" s="1"/>
  <c r="I428" i="12" s="1"/>
  <c r="I426" i="12"/>
  <c r="P17" i="12" l="1"/>
  <c r="P16" i="12"/>
  <c r="Q17" i="12" s="1"/>
  <c r="R17" i="12" s="1"/>
  <c r="Q8" i="12"/>
  <c r="Q9" i="12" s="1"/>
  <c r="P7" i="12"/>
  <c r="H17" i="12"/>
  <c r="I17" i="12" s="1"/>
  <c r="H16" i="12"/>
  <c r="I16" i="12" s="1"/>
  <c r="H8" i="12"/>
  <c r="I8" i="12" s="1"/>
  <c r="H9" i="12"/>
  <c r="I9" i="12" s="1"/>
  <c r="H10" i="12"/>
  <c r="I10" i="12" s="1"/>
  <c r="H11" i="12"/>
  <c r="I11" i="12" s="1"/>
  <c r="H12" i="12"/>
  <c r="I12" i="12" s="1"/>
  <c r="H13" i="12"/>
  <c r="I13" i="12" s="1"/>
  <c r="H14" i="12"/>
  <c r="I14" i="12" s="1"/>
  <c r="H15" i="12"/>
  <c r="I15" i="12" s="1"/>
  <c r="H7" i="12"/>
  <c r="I7" i="12" s="1"/>
  <c r="C10" i="29" l="1"/>
  <c r="K276" i="12" l="1"/>
  <c r="K274" i="12"/>
  <c r="K272" i="12"/>
  <c r="F276" i="12"/>
  <c r="I276" i="12" s="1"/>
  <c r="J276" i="12" s="1"/>
  <c r="F274" i="12"/>
  <c r="I274" i="12" s="1"/>
  <c r="J274" i="12" s="1"/>
  <c r="F272" i="12"/>
  <c r="I272" i="12" s="1"/>
  <c r="J272" i="12" s="1"/>
  <c r="D91" i="30"/>
  <c r="D92" i="30" s="1"/>
  <c r="B276" i="12"/>
  <c r="A276" i="12"/>
  <c r="D97" i="30"/>
  <c r="D98" i="30" s="1"/>
  <c r="I361" i="12"/>
  <c r="I360" i="12"/>
  <c r="I359" i="12"/>
  <c r="I358" i="12"/>
  <c r="I357" i="12"/>
  <c r="I356" i="12"/>
  <c r="I355" i="12"/>
  <c r="I354" i="12"/>
  <c r="I353" i="12"/>
  <c r="I352" i="12"/>
  <c r="I351" i="12"/>
  <c r="I350" i="12"/>
  <c r="I349" i="12"/>
  <c r="I348" i="12"/>
  <c r="I347" i="12"/>
  <c r="I346" i="12"/>
  <c r="I345" i="12"/>
  <c r="I344" i="12"/>
  <c r="I343" i="12"/>
  <c r="I342" i="12"/>
  <c r="I340" i="12"/>
  <c r="I339" i="12"/>
  <c r="I338" i="12"/>
  <c r="I337" i="12"/>
  <c r="I334" i="12"/>
  <c r="I333" i="12"/>
  <c r="I330" i="12"/>
  <c r="I329" i="12"/>
  <c r="I328" i="12"/>
  <c r="I327" i="12"/>
  <c r="I326" i="12"/>
  <c r="I325" i="12"/>
  <c r="I324" i="12"/>
  <c r="I323" i="12"/>
  <c r="I322" i="12"/>
  <c r="I321" i="12"/>
  <c r="I320" i="12"/>
  <c r="I319" i="12"/>
  <c r="I318" i="12"/>
  <c r="I317" i="12"/>
  <c r="F336" i="12"/>
  <c r="I336" i="12" s="1"/>
  <c r="F332" i="12"/>
  <c r="I332" i="12" s="1"/>
  <c r="I279" i="12"/>
  <c r="I280" i="12"/>
  <c r="I281" i="12"/>
  <c r="I282" i="12"/>
  <c r="I283" i="12"/>
  <c r="I284" i="12"/>
  <c r="I285" i="12"/>
  <c r="I286" i="12"/>
  <c r="I287" i="12"/>
  <c r="I288" i="12"/>
  <c r="I289" i="12"/>
  <c r="I290" i="12"/>
  <c r="I291" i="12"/>
  <c r="I292" i="12"/>
  <c r="I293" i="12"/>
  <c r="I294" i="12"/>
  <c r="I295" i="12"/>
  <c r="I296" i="12"/>
  <c r="I297" i="12"/>
  <c r="I298" i="12"/>
  <c r="I299" i="12"/>
  <c r="I300" i="12"/>
  <c r="I301" i="12"/>
  <c r="I302" i="12"/>
  <c r="I303" i="12"/>
  <c r="I304" i="12"/>
  <c r="I305" i="12"/>
  <c r="I306" i="12"/>
  <c r="I307" i="12"/>
  <c r="I308" i="12"/>
  <c r="I309" i="12"/>
  <c r="I310" i="12"/>
  <c r="I311" i="12"/>
  <c r="I312" i="12"/>
  <c r="I313" i="12"/>
  <c r="I314" i="12"/>
  <c r="I315" i="12"/>
  <c r="I278" i="12"/>
  <c r="K361" i="12"/>
  <c r="B342" i="12"/>
  <c r="K340" i="12"/>
  <c r="F335" i="12"/>
  <c r="I335" i="12" s="1"/>
  <c r="F331" i="12"/>
  <c r="I331" i="12" s="1"/>
  <c r="K315" i="12"/>
  <c r="I175" i="12"/>
  <c r="J175" i="12" s="1"/>
  <c r="B175" i="12"/>
  <c r="A175" i="12"/>
  <c r="I173" i="12"/>
  <c r="I171" i="12"/>
  <c r="K169" i="12"/>
  <c r="I169" i="12"/>
  <c r="I168" i="12"/>
  <c r="I167" i="12"/>
  <c r="I166" i="12"/>
  <c r="I165" i="12"/>
  <c r="I164" i="12"/>
  <c r="I163" i="12"/>
  <c r="I162" i="12"/>
  <c r="I161" i="12"/>
  <c r="I160" i="12"/>
  <c r="B160" i="12"/>
  <c r="A160" i="12"/>
  <c r="I158" i="12"/>
  <c r="I157" i="12"/>
  <c r="I155" i="12"/>
  <c r="I153" i="12"/>
  <c r="I152" i="12"/>
  <c r="I151" i="12"/>
  <c r="I150" i="12"/>
  <c r="I149" i="12"/>
  <c r="I148" i="12"/>
  <c r="I147" i="12"/>
  <c r="F156" i="12"/>
  <c r="I156" i="12" s="1"/>
  <c r="F154" i="12"/>
  <c r="I154" i="12" s="1"/>
  <c r="I128" i="12"/>
  <c r="I129" i="12"/>
  <c r="I130" i="12"/>
  <c r="I131" i="12"/>
  <c r="I132" i="12"/>
  <c r="I133" i="12"/>
  <c r="I134" i="12"/>
  <c r="I135" i="12"/>
  <c r="I136" i="12"/>
  <c r="I137" i="12"/>
  <c r="I138" i="12"/>
  <c r="I139" i="12"/>
  <c r="I140" i="12"/>
  <c r="I141" i="12"/>
  <c r="I142" i="12"/>
  <c r="I143" i="12"/>
  <c r="I144" i="12"/>
  <c r="I145" i="12"/>
  <c r="I127" i="12"/>
  <c r="L274" i="12" l="1"/>
  <c r="M274" i="12" s="1"/>
  <c r="N274" i="12" s="1"/>
  <c r="L276" i="12"/>
  <c r="M276" i="12" s="1"/>
  <c r="N276" i="12" s="1"/>
  <c r="L272" i="12"/>
  <c r="M272" i="12" s="1"/>
  <c r="N272" i="12" s="1"/>
  <c r="J361" i="12"/>
  <c r="L361" i="12" s="1"/>
  <c r="M361" i="12" s="1"/>
  <c r="N361" i="12" s="1"/>
  <c r="H97" i="30" s="1"/>
  <c r="J340" i="12"/>
  <c r="L340" i="12" s="1"/>
  <c r="M340" i="12" s="1"/>
  <c r="N340" i="12" s="1"/>
  <c r="H96" i="30" s="1"/>
  <c r="J315" i="12"/>
  <c r="L315" i="12" s="1"/>
  <c r="M315" i="12" s="1"/>
  <c r="N315" i="12" s="1"/>
  <c r="H95" i="30" s="1"/>
  <c r="J169" i="12"/>
  <c r="L169" i="12" s="1"/>
  <c r="M169" i="12" s="1"/>
  <c r="N169" i="12" s="1"/>
  <c r="J137" i="12"/>
  <c r="B605" i="12"/>
  <c r="K595" i="12"/>
  <c r="J595" i="12"/>
  <c r="B595" i="12"/>
  <c r="J592" i="12"/>
  <c r="K592" i="12"/>
  <c r="B592" i="12"/>
  <c r="J590" i="12"/>
  <c r="K590" i="12"/>
  <c r="B586" i="12"/>
  <c r="K580" i="12"/>
  <c r="J580" i="12"/>
  <c r="B578" i="12"/>
  <c r="J572" i="12"/>
  <c r="K572" i="12"/>
  <c r="B570" i="12"/>
  <c r="J565" i="12"/>
  <c r="K565" i="12"/>
  <c r="B565" i="12"/>
  <c r="B560" i="12"/>
  <c r="I560" i="12"/>
  <c r="J560" i="12" s="1"/>
  <c r="K560" i="12"/>
  <c r="K558" i="12"/>
  <c r="J558" i="12"/>
  <c r="B556" i="12"/>
  <c r="K554" i="12"/>
  <c r="J554" i="12"/>
  <c r="B554" i="12"/>
  <c r="J537" i="12"/>
  <c r="I535" i="12"/>
  <c r="I536" i="12"/>
  <c r="I533" i="12"/>
  <c r="F532" i="12"/>
  <c r="I532" i="12" s="1"/>
  <c r="F529" i="12"/>
  <c r="I529" i="12" s="1"/>
  <c r="I530" i="12"/>
  <c r="B529" i="12"/>
  <c r="K530" i="12"/>
  <c r="B532" i="12"/>
  <c r="K533" i="12"/>
  <c r="B535" i="12"/>
  <c r="K535" i="12"/>
  <c r="I527" i="12"/>
  <c r="I526" i="12"/>
  <c r="I525" i="12"/>
  <c r="I523" i="12"/>
  <c r="I522" i="12"/>
  <c r="I521" i="12"/>
  <c r="I520" i="12"/>
  <c r="I519" i="12"/>
  <c r="I518" i="12"/>
  <c r="K515" i="12"/>
  <c r="I515" i="12"/>
  <c r="I514" i="12"/>
  <c r="I513" i="12"/>
  <c r="I512" i="12"/>
  <c r="I511" i="12"/>
  <c r="I510" i="12"/>
  <c r="I509" i="12"/>
  <c r="H508" i="12"/>
  <c r="I508" i="12" s="1"/>
  <c r="B508" i="12"/>
  <c r="A508" i="12"/>
  <c r="R506" i="12"/>
  <c r="R505" i="12"/>
  <c r="R504" i="12"/>
  <c r="R503" i="12"/>
  <c r="R502" i="12"/>
  <c r="Q506" i="12"/>
  <c r="Q505" i="12"/>
  <c r="Q504" i="12"/>
  <c r="Q503" i="12"/>
  <c r="Q502" i="12"/>
  <c r="R499" i="12"/>
  <c r="R498" i="12"/>
  <c r="R497" i="12"/>
  <c r="R496" i="12"/>
  <c r="R495" i="12"/>
  <c r="Q496" i="12"/>
  <c r="Q497" i="12"/>
  <c r="Q498" i="12"/>
  <c r="Q499" i="12"/>
  <c r="Q495" i="12"/>
  <c r="R484" i="12"/>
  <c r="R485" i="12"/>
  <c r="R486" i="12"/>
  <c r="R487" i="12"/>
  <c r="R488" i="12"/>
  <c r="R489" i="12"/>
  <c r="R490" i="12"/>
  <c r="R491" i="12"/>
  <c r="R492" i="12"/>
  <c r="R483" i="12"/>
  <c r="Q492" i="12"/>
  <c r="Q491" i="12"/>
  <c r="Q490" i="12"/>
  <c r="Q489" i="12"/>
  <c r="Q488" i="12"/>
  <c r="Q486" i="12"/>
  <c r="Q485" i="12"/>
  <c r="Q483" i="12"/>
  <c r="Q484" i="12"/>
  <c r="Q487" i="12"/>
  <c r="I506" i="12"/>
  <c r="I505" i="12"/>
  <c r="I504" i="12"/>
  <c r="I503" i="12"/>
  <c r="I502" i="12"/>
  <c r="I501" i="12"/>
  <c r="I499" i="12"/>
  <c r="I498" i="12"/>
  <c r="I497" i="12"/>
  <c r="I496" i="12"/>
  <c r="I495" i="12"/>
  <c r="I494" i="12"/>
  <c r="A494" i="12"/>
  <c r="B494" i="12"/>
  <c r="K494" i="12"/>
  <c r="I484" i="12"/>
  <c r="I485" i="12"/>
  <c r="I486" i="12"/>
  <c r="I487" i="12"/>
  <c r="I488" i="12"/>
  <c r="I489" i="12"/>
  <c r="I490" i="12"/>
  <c r="I491" i="12"/>
  <c r="I492" i="12"/>
  <c r="I483" i="12"/>
  <c r="I482" i="12"/>
  <c r="H49" i="30" l="1"/>
  <c r="H89" i="30"/>
  <c r="H91" i="30"/>
  <c r="H90" i="30"/>
  <c r="L572" i="12"/>
  <c r="M572" i="12" s="1"/>
  <c r="N572" i="12" s="1"/>
  <c r="L595" i="12"/>
  <c r="M595" i="12" s="1"/>
  <c r="N595" i="12" s="1"/>
  <c r="L590" i="12"/>
  <c r="M590" i="12" s="1"/>
  <c r="N590" i="12" s="1"/>
  <c r="L592" i="12"/>
  <c r="M592" i="12" s="1"/>
  <c r="N592" i="12" s="1"/>
  <c r="L565" i="12"/>
  <c r="M565" i="12" s="1"/>
  <c r="N565" i="12" s="1"/>
  <c r="L580" i="12"/>
  <c r="M580" i="12" s="1"/>
  <c r="N580" i="12" s="1"/>
  <c r="J535" i="12"/>
  <c r="L535" i="12" s="1"/>
  <c r="M535" i="12" s="1"/>
  <c r="N535" i="12" s="1"/>
  <c r="Q500" i="12"/>
  <c r="L554" i="12"/>
  <c r="M554" i="12" s="1"/>
  <c r="N554" i="12" s="1"/>
  <c r="L558" i="12"/>
  <c r="M558" i="12" s="1"/>
  <c r="N558" i="12" s="1"/>
  <c r="L560" i="12"/>
  <c r="M560" i="12" s="1"/>
  <c r="N560" i="12" s="1"/>
  <c r="J533" i="12"/>
  <c r="L533" i="12" s="1"/>
  <c r="M533" i="12" s="1"/>
  <c r="N533" i="12" s="1"/>
  <c r="J530" i="12"/>
  <c r="L530" i="12" s="1"/>
  <c r="M530" i="12" s="1"/>
  <c r="N530" i="12" s="1"/>
  <c r="Q517" i="12"/>
  <c r="J525" i="12"/>
  <c r="R517" i="12"/>
  <c r="R500" i="12"/>
  <c r="R493" i="12"/>
  <c r="J518" i="12"/>
  <c r="J515" i="12"/>
  <c r="L515" i="12" s="1"/>
  <c r="M515" i="12" s="1"/>
  <c r="N515" i="12" s="1"/>
  <c r="Q493" i="12"/>
  <c r="J501" i="12"/>
  <c r="J494" i="12"/>
  <c r="L494" i="12" s="1"/>
  <c r="M494" i="12" s="1"/>
  <c r="N494" i="12" s="1"/>
  <c r="J482" i="12"/>
  <c r="I479" i="12"/>
  <c r="F476" i="12"/>
  <c r="I476" i="12" s="1"/>
  <c r="I473" i="12"/>
  <c r="F474" i="12"/>
  <c r="I474" i="12" s="1"/>
  <c r="F471" i="12"/>
  <c r="I471" i="12" s="1"/>
  <c r="F470" i="12"/>
  <c r="I470" i="12" s="1"/>
  <c r="F468" i="12"/>
  <c r="I468" i="12" s="1"/>
  <c r="F467" i="12"/>
  <c r="I467" i="12" s="1"/>
  <c r="I429" i="12"/>
  <c r="I432" i="12"/>
  <c r="I433" i="12"/>
  <c r="I435" i="12"/>
  <c r="I425" i="12"/>
  <c r="I424" i="12"/>
  <c r="I413" i="12"/>
  <c r="I414" i="12"/>
  <c r="I415" i="12"/>
  <c r="I416" i="12"/>
  <c r="I417" i="12"/>
  <c r="I418" i="12"/>
  <c r="I419" i="12"/>
  <c r="I420" i="12"/>
  <c r="I421" i="12"/>
  <c r="I412" i="12"/>
  <c r="I411" i="12"/>
  <c r="I410" i="12"/>
  <c r="I409" i="12"/>
  <c r="I408" i="12"/>
  <c r="I407" i="12"/>
  <c r="I406" i="12"/>
  <c r="I405" i="12"/>
  <c r="I404" i="12"/>
  <c r="H7" i="20" l="1"/>
  <c r="S500" i="12"/>
  <c r="S517" i="12"/>
  <c r="S493" i="12"/>
  <c r="J471" i="12"/>
  <c r="I401" i="12"/>
  <c r="I400" i="12"/>
  <c r="I399" i="12"/>
  <c r="I398" i="12"/>
  <c r="I397" i="12"/>
  <c r="I383" i="12"/>
  <c r="I384" i="12"/>
  <c r="I385" i="12"/>
  <c r="I386" i="12"/>
  <c r="I387" i="12"/>
  <c r="I388" i="12"/>
  <c r="I390" i="12"/>
  <c r="I391" i="12"/>
  <c r="I392" i="12"/>
  <c r="I393" i="12"/>
  <c r="I394" i="12"/>
  <c r="I382" i="12"/>
  <c r="K381" i="12"/>
  <c r="I365" i="12"/>
  <c r="I366" i="12"/>
  <c r="I367" i="12"/>
  <c r="I368" i="12"/>
  <c r="I369" i="12"/>
  <c r="I370" i="12"/>
  <c r="I371" i="12"/>
  <c r="I372" i="12"/>
  <c r="I373" i="12"/>
  <c r="I374" i="12"/>
  <c r="I375" i="12"/>
  <c r="I376" i="12"/>
  <c r="I377" i="12"/>
  <c r="I378" i="12"/>
  <c r="I379" i="12"/>
  <c r="I380" i="12"/>
  <c r="I381" i="12"/>
  <c r="I364" i="12"/>
  <c r="J381" i="12" l="1"/>
  <c r="L381" i="12" s="1"/>
  <c r="M381" i="12" s="1"/>
  <c r="N381" i="12" s="1"/>
  <c r="K605" i="12" l="1"/>
  <c r="J605" i="12"/>
  <c r="K603" i="12"/>
  <c r="J603" i="12"/>
  <c r="B602" i="12"/>
  <c r="K600" i="12"/>
  <c r="J600" i="12"/>
  <c r="B600" i="12"/>
  <c r="J598" i="12"/>
  <c r="B597" i="12"/>
  <c r="J585" i="12"/>
  <c r="B582" i="12"/>
  <c r="J576" i="12"/>
  <c r="B574" i="12"/>
  <c r="B568" i="12"/>
  <c r="K568" i="12"/>
  <c r="J568" i="12"/>
  <c r="J563" i="12"/>
  <c r="B562" i="12"/>
  <c r="J552" i="12"/>
  <c r="B551" i="12"/>
  <c r="J549" i="12"/>
  <c r="B549" i="12"/>
  <c r="J547" i="12"/>
  <c r="B542" i="12"/>
  <c r="J540" i="12"/>
  <c r="K540" i="12"/>
  <c r="B539" i="12"/>
  <c r="K537" i="12"/>
  <c r="B537" i="12"/>
  <c r="K525" i="12"/>
  <c r="K518" i="12"/>
  <c r="A525" i="12"/>
  <c r="A518" i="12"/>
  <c r="K501" i="12"/>
  <c r="A501" i="12"/>
  <c r="B518" i="12"/>
  <c r="B482" i="12"/>
  <c r="A482" i="12"/>
  <c r="K480" i="12"/>
  <c r="J480" i="12"/>
  <c r="A479" i="12"/>
  <c r="K477" i="12"/>
  <c r="J477" i="12"/>
  <c r="A476" i="12"/>
  <c r="K474" i="12"/>
  <c r="J474" i="12"/>
  <c r="B473" i="12"/>
  <c r="B479" i="12" s="1"/>
  <c r="B501" i="12" s="1"/>
  <c r="B525" i="12" s="1"/>
  <c r="A473" i="12"/>
  <c r="K471" i="12"/>
  <c r="B470" i="12"/>
  <c r="B476" i="12" s="1"/>
  <c r="A470" i="12"/>
  <c r="B467" i="12"/>
  <c r="A467" i="12"/>
  <c r="K465" i="12"/>
  <c r="B438" i="12"/>
  <c r="A438" i="12"/>
  <c r="K436" i="12"/>
  <c r="B424" i="12"/>
  <c r="K422" i="12"/>
  <c r="L568" i="12" l="1"/>
  <c r="M568" i="12" s="1"/>
  <c r="N568" i="12" s="1"/>
  <c r="L603" i="12"/>
  <c r="M603" i="12" s="1"/>
  <c r="N603" i="12" s="1"/>
  <c r="L518" i="12"/>
  <c r="M518" i="12" s="1"/>
  <c r="N518" i="12" s="1"/>
  <c r="L605" i="12"/>
  <c r="M605" i="12" s="1"/>
  <c r="N605" i="12" s="1"/>
  <c r="L525" i="12"/>
  <c r="M525" i="12" s="1"/>
  <c r="N525" i="12" s="1"/>
  <c r="L600" i="12"/>
  <c r="M600" i="12" s="1"/>
  <c r="N600" i="12" s="1"/>
  <c r="L540" i="12"/>
  <c r="M540" i="12" s="1"/>
  <c r="N540" i="12" s="1"/>
  <c r="L537" i="12"/>
  <c r="M537" i="12" s="1"/>
  <c r="N537" i="12" s="1"/>
  <c r="J468" i="12"/>
  <c r="L471" i="12"/>
  <c r="M471" i="12" s="1"/>
  <c r="N471" i="12" s="1"/>
  <c r="J436" i="12"/>
  <c r="L436" i="12" s="1"/>
  <c r="M436" i="12" s="1"/>
  <c r="N436" i="12" s="1"/>
  <c r="J465" i="12"/>
  <c r="L465" i="12" s="1"/>
  <c r="M465" i="12" s="1"/>
  <c r="N465" i="12" s="1"/>
  <c r="L477" i="12"/>
  <c r="M477" i="12" s="1"/>
  <c r="N477" i="12" s="1"/>
  <c r="L480" i="12"/>
  <c r="M480" i="12" s="1"/>
  <c r="N480" i="12" s="1"/>
  <c r="L501" i="12"/>
  <c r="M501" i="12" s="1"/>
  <c r="N501" i="12" s="1"/>
  <c r="L474" i="12"/>
  <c r="M474" i="12" s="1"/>
  <c r="N474" i="12" s="1"/>
  <c r="J422" i="12"/>
  <c r="L422" i="12" s="1"/>
  <c r="M422" i="12" s="1"/>
  <c r="N422" i="12" s="1"/>
  <c r="B404" i="12"/>
  <c r="B397" i="12"/>
  <c r="H9" i="20" l="1"/>
  <c r="H8" i="20"/>
  <c r="H26" i="20" s="1"/>
  <c r="C14" i="29" s="1"/>
  <c r="J402" i="12"/>
  <c r="B364" i="12"/>
  <c r="B317" i="12"/>
  <c r="A317" i="12"/>
  <c r="B278" i="12"/>
  <c r="A278" i="12"/>
  <c r="B274" i="12"/>
  <c r="A274" i="12"/>
  <c r="B272" i="12"/>
  <c r="A272" i="12"/>
  <c r="B235" i="12"/>
  <c r="A235" i="12"/>
  <c r="K233" i="12"/>
  <c r="B198" i="12"/>
  <c r="B185" i="12"/>
  <c r="K183" i="12"/>
  <c r="B177" i="12"/>
  <c r="A177" i="12"/>
  <c r="J196" i="12" l="1"/>
  <c r="J233" i="12"/>
  <c r="L233" i="12" s="1"/>
  <c r="M233" i="12" s="1"/>
  <c r="N233" i="12" s="1"/>
  <c r="J183" i="12"/>
  <c r="L183" i="12" s="1"/>
  <c r="M183" i="12" s="1"/>
  <c r="N183" i="12" s="1"/>
  <c r="K125" i="12"/>
  <c r="K158" i="12"/>
  <c r="L136" i="12"/>
  <c r="M136" i="12" s="1"/>
  <c r="N136" i="12" s="1"/>
  <c r="K137" i="12"/>
  <c r="L131" i="12"/>
  <c r="M131" i="12" s="1"/>
  <c r="N131" i="12" s="1"/>
  <c r="L132" i="12"/>
  <c r="M132" i="12" s="1"/>
  <c r="N132" i="12" s="1"/>
  <c r="L133" i="12"/>
  <c r="M133" i="12" s="1"/>
  <c r="N133" i="12" s="1"/>
  <c r="L134" i="12"/>
  <c r="M134" i="12" s="1"/>
  <c r="N134" i="12" s="1"/>
  <c r="L135" i="12"/>
  <c r="M135" i="12" s="1"/>
  <c r="N135" i="12" s="1"/>
  <c r="K173" i="12"/>
  <c r="J173" i="12"/>
  <c r="K171" i="12"/>
  <c r="J171" i="12"/>
  <c r="B173" i="12"/>
  <c r="B171" i="12"/>
  <c r="A173" i="12"/>
  <c r="A171" i="12"/>
  <c r="B147" i="12"/>
  <c r="A147" i="12"/>
  <c r="B127" i="12"/>
  <c r="A127" i="12"/>
  <c r="B108" i="12"/>
  <c r="A108" i="12"/>
  <c r="J106" i="12"/>
  <c r="B106" i="12"/>
  <c r="A106" i="12"/>
  <c r="B98" i="12"/>
  <c r="A98" i="12"/>
  <c r="B79" i="12"/>
  <c r="A79" i="12"/>
  <c r="B66" i="12"/>
  <c r="A66" i="12"/>
  <c r="B25" i="12"/>
  <c r="A25" i="12"/>
  <c r="J23" i="12"/>
  <c r="K23" i="12"/>
  <c r="B23" i="12"/>
  <c r="A23" i="12"/>
  <c r="B21" i="12"/>
  <c r="A21" i="12"/>
  <c r="J21" i="12"/>
  <c r="K18" i="12"/>
  <c r="H109" i="30" l="1"/>
  <c r="H18" i="30"/>
  <c r="L23" i="12"/>
  <c r="M23" i="12" s="1"/>
  <c r="N23" i="12" s="1"/>
  <c r="J96" i="12"/>
  <c r="J158" i="12"/>
  <c r="L158" i="12" s="1"/>
  <c r="M158" i="12" s="1"/>
  <c r="N158" i="12" s="1"/>
  <c r="J104" i="12"/>
  <c r="L137" i="12"/>
  <c r="M137" i="12" s="1"/>
  <c r="N137" i="12" s="1"/>
  <c r="L173" i="12"/>
  <c r="M173" i="12" s="1"/>
  <c r="N173" i="12" s="1"/>
  <c r="J64" i="12"/>
  <c r="J125" i="12"/>
  <c r="L125" i="12" s="1"/>
  <c r="M125" i="12" s="1"/>
  <c r="N125" i="12" s="1"/>
  <c r="J77" i="12"/>
  <c r="L171" i="12"/>
  <c r="M171" i="12" s="1"/>
  <c r="N171" i="12" s="1"/>
  <c r="H48" i="30" l="1"/>
  <c r="I53" i="30"/>
  <c r="J53" i="30" s="1"/>
  <c r="H53" i="30"/>
  <c r="H119" i="30"/>
  <c r="H47" i="30"/>
  <c r="I52" i="30"/>
  <c r="J52" i="30" s="1"/>
  <c r="H120" i="30"/>
  <c r="H52" i="30"/>
  <c r="B7" i="12"/>
  <c r="A7" i="12"/>
  <c r="J5" i="12"/>
  <c r="B5" i="12"/>
  <c r="A3" i="12"/>
  <c r="A5" i="12"/>
  <c r="J3" i="12"/>
  <c r="B3" i="12"/>
  <c r="J18" i="12" l="1"/>
  <c r="L18" i="12" s="1"/>
  <c r="M18" i="12" s="1"/>
  <c r="N18" i="12" s="1"/>
  <c r="P598" i="12" l="1"/>
  <c r="A4" i="37"/>
  <c r="A568" i="12" l="1"/>
  <c r="A602" i="12"/>
  <c r="A597" i="12"/>
  <c r="H77" i="30"/>
  <c r="A570" i="12" l="1"/>
  <c r="A600" i="12"/>
  <c r="A605" i="12" l="1"/>
  <c r="A578" i="12"/>
  <c r="A574" i="12"/>
  <c r="L127" i="12"/>
  <c r="M127" i="12" s="1"/>
  <c r="N127" i="12" s="1"/>
  <c r="L128" i="12"/>
  <c r="M128" i="12" s="1"/>
  <c r="N128" i="12" s="1"/>
  <c r="L129" i="12"/>
  <c r="M129" i="12" s="1"/>
  <c r="N129" i="12" s="1"/>
  <c r="L130" i="12"/>
  <c r="M130" i="12" s="1"/>
  <c r="N130" i="12" s="1"/>
  <c r="K106" i="12"/>
  <c r="L106" i="12" s="1"/>
  <c r="M106" i="12" s="1"/>
  <c r="N106" i="12" s="1"/>
  <c r="A582" i="12" l="1"/>
  <c r="A586" i="12"/>
  <c r="K402" i="12"/>
  <c r="L402" i="12" s="1"/>
  <c r="M402" i="12" s="1"/>
  <c r="N402" i="12" s="1"/>
  <c r="K468" i="12"/>
  <c r="L468" i="12" s="1"/>
  <c r="M468" i="12" s="1"/>
  <c r="N468" i="12" s="1"/>
  <c r="K482" i="12"/>
  <c r="L482" i="12" s="1"/>
  <c r="M482" i="12" s="1"/>
  <c r="N482" i="12" s="1"/>
  <c r="C12" i="29" s="1"/>
  <c r="K547" i="12"/>
  <c r="L547" i="12" s="1"/>
  <c r="M547" i="12" s="1"/>
  <c r="N547" i="12" s="1"/>
  <c r="K549" i="12"/>
  <c r="L549" i="12" s="1"/>
  <c r="M549" i="12" s="1"/>
  <c r="N549" i="12" s="1"/>
  <c r="K552" i="12"/>
  <c r="L552" i="12" s="1"/>
  <c r="M552" i="12" s="1"/>
  <c r="N552" i="12" s="1"/>
  <c r="K563" i="12"/>
  <c r="L563" i="12" s="1"/>
  <c r="M563" i="12" s="1"/>
  <c r="N563" i="12" s="1"/>
  <c r="K576" i="12"/>
  <c r="L576" i="12" s="1"/>
  <c r="M576" i="12" s="1"/>
  <c r="N576" i="12" s="1"/>
  <c r="K585" i="12"/>
  <c r="L585" i="12" s="1"/>
  <c r="M585" i="12" s="1"/>
  <c r="N585" i="12" s="1"/>
  <c r="K598" i="12"/>
  <c r="L598" i="12" s="1"/>
  <c r="M598" i="12" s="1"/>
  <c r="N598" i="12" s="1"/>
  <c r="C9" i="29" l="1"/>
  <c r="A595" i="12"/>
  <c r="A592" i="12"/>
  <c r="Q45" i="12" l="1"/>
  <c r="Q44" i="12"/>
  <c r="Q46" i="12" l="1"/>
  <c r="K196" i="12"/>
  <c r="L196" i="12" s="1"/>
  <c r="M196" i="12" s="1"/>
  <c r="N196" i="12" s="1"/>
  <c r="R30" i="12"/>
  <c r="K64" i="12"/>
  <c r="L64" i="12" s="1"/>
  <c r="M64" i="12" s="1"/>
  <c r="N64" i="12" s="1"/>
  <c r="K77" i="12"/>
  <c r="L77" i="12" s="1"/>
  <c r="M77" i="12" s="1"/>
  <c r="N77" i="12" s="1"/>
  <c r="K96" i="12"/>
  <c r="L96" i="12" s="1"/>
  <c r="M96" i="12" s="1"/>
  <c r="N96" i="12" s="1"/>
  <c r="K104" i="12"/>
  <c r="K175" i="12"/>
  <c r="L175" i="12" s="1"/>
  <c r="M175" i="12" s="1"/>
  <c r="N175" i="12" s="1"/>
  <c r="I54" i="30" l="1"/>
  <c r="J54" i="30" s="1"/>
  <c r="L104" i="12"/>
  <c r="M104" i="12" s="1"/>
  <c r="N104" i="12" s="1"/>
  <c r="Q38" i="12" l="1"/>
  <c r="Q39" i="12" s="1"/>
  <c r="C8" i="29" l="1"/>
  <c r="K21" i="12"/>
  <c r="L21" i="12" s="1"/>
  <c r="M21" i="12" s="1"/>
  <c r="N21" i="12" s="1"/>
  <c r="K5" i="12"/>
  <c r="L5" i="12" s="1"/>
  <c r="M5" i="12" s="1"/>
  <c r="N5" i="12" s="1"/>
  <c r="A364" i="12" l="1"/>
  <c r="A404" i="12" l="1"/>
  <c r="A424" i="12" l="1"/>
  <c r="A397" i="12" l="1"/>
  <c r="N11" i="57" l="1"/>
  <c r="C54" i="32" l="1"/>
  <c r="C55" i="32"/>
  <c r="C53" i="32"/>
  <c r="C52" i="32"/>
  <c r="C58" i="32" s="1"/>
  <c r="A529" i="12"/>
  <c r="A537" i="12" l="1"/>
  <c r="A532" i="12"/>
  <c r="A535" i="12" l="1"/>
  <c r="A539" i="12"/>
  <c r="R96" i="30"/>
  <c r="Q96" i="30"/>
  <c r="R48" i="30"/>
  <c r="S48" i="30" s="1"/>
  <c r="A542" i="12" l="1"/>
  <c r="S96" i="30"/>
  <c r="E510" i="56"/>
  <c r="E506" i="56"/>
  <c r="E504" i="56"/>
  <c r="E502" i="56"/>
  <c r="E500" i="56"/>
  <c r="E467" i="56"/>
  <c r="E465" i="56"/>
  <c r="E463" i="56"/>
  <c r="E461" i="56"/>
  <c r="E434" i="56"/>
  <c r="E432" i="56"/>
  <c r="E430" i="56"/>
  <c r="E403" i="56"/>
  <c r="E407" i="56" s="1"/>
  <c r="E409" i="56" s="1"/>
  <c r="E438" i="56" s="1"/>
  <c r="E442" i="56" s="1"/>
  <c r="E471" i="56" s="1"/>
  <c r="E475" i="56" s="1"/>
  <c r="E399" i="56"/>
  <c r="E397" i="56"/>
  <c r="E395" i="56"/>
  <c r="E394" i="56"/>
  <c r="E379" i="56"/>
  <c r="E377" i="56"/>
  <c r="E373" i="56"/>
  <c r="E369" i="56"/>
  <c r="E367" i="56"/>
  <c r="E365" i="56"/>
  <c r="E363" i="56"/>
  <c r="E361" i="56"/>
  <c r="E341" i="56"/>
  <c r="E343" i="56" s="1"/>
  <c r="E339" i="56"/>
  <c r="E288" i="56"/>
  <c r="E284" i="56"/>
  <c r="E381" i="56" l="1"/>
  <c r="E345" i="56"/>
  <c r="A549" i="12"/>
  <c r="E411" i="56" l="1"/>
  <c r="E383" i="56"/>
  <c r="E413" i="56" s="1"/>
  <c r="E347" i="56"/>
  <c r="E371" i="56"/>
  <c r="E508" i="56" s="1"/>
  <c r="A554" i="12"/>
  <c r="A551" i="12"/>
  <c r="F73" i="60"/>
  <c r="A73" i="60"/>
  <c r="A72" i="60"/>
  <c r="A71" i="60"/>
  <c r="F70" i="60"/>
  <c r="A70" i="60"/>
  <c r="A69" i="60"/>
  <c r="A68" i="60"/>
  <c r="F67" i="60"/>
  <c r="A67" i="60"/>
  <c r="A66" i="60"/>
  <c r="A65" i="60"/>
  <c r="A64" i="60"/>
  <c r="F63" i="60"/>
  <c r="A63" i="60"/>
  <c r="A62" i="60"/>
  <c r="F61" i="60"/>
  <c r="A61" i="60"/>
  <c r="A60" i="60"/>
  <c r="F59" i="60"/>
  <c r="A59" i="60"/>
  <c r="A58" i="60"/>
  <c r="F57" i="60"/>
  <c r="A57" i="60"/>
  <c r="A56" i="60"/>
  <c r="F55" i="60"/>
  <c r="A55" i="60"/>
  <c r="A54" i="60"/>
  <c r="A53" i="60"/>
  <c r="A52" i="60"/>
  <c r="F51" i="60"/>
  <c r="A51" i="60"/>
  <c r="A50" i="60"/>
  <c r="F49" i="60"/>
  <c r="A49" i="60"/>
  <c r="A48" i="60"/>
  <c r="F47" i="60"/>
  <c r="A47" i="60"/>
  <c r="A46" i="60"/>
  <c r="F45" i="60"/>
  <c r="A45" i="60"/>
  <c r="F43" i="60"/>
  <c r="E448" i="56" l="1"/>
  <c r="E415" i="56"/>
  <c r="A556" i="12"/>
  <c r="F75" i="60"/>
  <c r="A133" i="58"/>
  <c r="A132" i="58"/>
  <c r="A131" i="58"/>
  <c r="A130" i="58"/>
  <c r="A129" i="58"/>
  <c r="A128" i="58"/>
  <c r="A127" i="58"/>
  <c r="A126" i="58"/>
  <c r="A125" i="58"/>
  <c r="A124" i="58"/>
  <c r="A123" i="58"/>
  <c r="A122" i="58"/>
  <c r="A121" i="58"/>
  <c r="A119" i="58"/>
  <c r="A118" i="58"/>
  <c r="A117" i="58"/>
  <c r="A116" i="58"/>
  <c r="A115" i="58"/>
  <c r="A114" i="58"/>
  <c r="A93" i="58"/>
  <c r="A89" i="58"/>
  <c r="F87" i="58"/>
  <c r="A87" i="58"/>
  <c r="A86" i="58"/>
  <c r="A85" i="58"/>
  <c r="F84" i="58"/>
  <c r="A84" i="58"/>
  <c r="A83" i="58"/>
  <c r="A82" i="58"/>
  <c r="F81" i="58"/>
  <c r="A81" i="58"/>
  <c r="A80" i="58"/>
  <c r="A78" i="58"/>
  <c r="A76" i="58"/>
  <c r="A75" i="58"/>
  <c r="A74" i="58"/>
  <c r="A73" i="58"/>
  <c r="F72" i="58"/>
  <c r="A72" i="58"/>
  <c r="F70" i="58"/>
  <c r="A70" i="58"/>
  <c r="F68" i="58"/>
  <c r="A68" i="58"/>
  <c r="A67" i="58"/>
  <c r="F66" i="58"/>
  <c r="F64" i="58"/>
  <c r="F62" i="58"/>
  <c r="A62" i="58"/>
  <c r="A61" i="58"/>
  <c r="F60" i="58"/>
  <c r="A60" i="58"/>
  <c r="A59" i="58"/>
  <c r="F58" i="58"/>
  <c r="A58" i="58"/>
  <c r="A57" i="58"/>
  <c r="F56" i="58"/>
  <c r="A56" i="58"/>
  <c r="F54" i="58"/>
  <c r="A54" i="58"/>
  <c r="A53" i="58"/>
  <c r="F52" i="58"/>
  <c r="A52" i="58"/>
  <c r="F89" i="58" l="1"/>
  <c r="A560" i="12"/>
  <c r="A97" i="57"/>
  <c r="F94" i="57"/>
  <c r="A94" i="57"/>
  <c r="A93" i="57"/>
  <c r="A92" i="57"/>
  <c r="F91" i="57"/>
  <c r="A91" i="57"/>
  <c r="A90" i="57"/>
  <c r="A89" i="57"/>
  <c r="F88" i="57"/>
  <c r="A88" i="57"/>
  <c r="A87" i="57"/>
  <c r="A86" i="57"/>
  <c r="A85" i="57"/>
  <c r="A84" i="57"/>
  <c r="F83" i="57"/>
  <c r="A83" i="57"/>
  <c r="A82" i="57"/>
  <c r="F81" i="57"/>
  <c r="A81" i="57"/>
  <c r="A80" i="57"/>
  <c r="F79" i="57"/>
  <c r="A79" i="57"/>
  <c r="A78" i="57"/>
  <c r="F77" i="57"/>
  <c r="A77" i="57"/>
  <c r="A76" i="57"/>
  <c r="F75" i="57"/>
  <c r="A75" i="57"/>
  <c r="A74" i="57"/>
  <c r="F73" i="57"/>
  <c r="A73" i="57"/>
  <c r="A72" i="57"/>
  <c r="A71" i="57"/>
  <c r="A70" i="57"/>
  <c r="F69" i="57"/>
  <c r="A69" i="57"/>
  <c r="A68" i="57"/>
  <c r="F67" i="57"/>
  <c r="A67" i="57"/>
  <c r="A562" i="12" l="1"/>
  <c r="F96" i="57"/>
  <c r="F506" i="56"/>
  <c r="F504" i="56"/>
  <c r="F502" i="56"/>
  <c r="F500" i="56"/>
  <c r="F467" i="56"/>
  <c r="F465" i="56"/>
  <c r="F463" i="56"/>
  <c r="F461" i="56"/>
  <c r="F459" i="56"/>
  <c r="F434" i="56"/>
  <c r="F432" i="56"/>
  <c r="F430" i="56"/>
  <c r="F428" i="56"/>
  <c r="F399" i="56"/>
  <c r="F397" i="56"/>
  <c r="F395" i="56"/>
  <c r="F394" i="56"/>
  <c r="F392" i="56"/>
  <c r="A353" i="56"/>
  <c r="F369" i="56"/>
  <c r="F367" i="56"/>
  <c r="F365" i="56"/>
  <c r="F363" i="56"/>
  <c r="F361" i="56"/>
  <c r="F359" i="56"/>
  <c r="A351" i="56"/>
  <c r="F317" i="56"/>
  <c r="A586" i="56"/>
  <c r="A585" i="56"/>
  <c r="F584" i="56"/>
  <c r="A583" i="56"/>
  <c r="A582" i="56"/>
  <c r="F581" i="56"/>
  <c r="A580" i="56"/>
  <c r="A579" i="56"/>
  <c r="F578" i="56"/>
  <c r="A577" i="56"/>
  <c r="A576" i="56"/>
  <c r="F575" i="56"/>
  <c r="A574" i="56"/>
  <c r="A573" i="56"/>
  <c r="F572" i="56"/>
  <c r="A571" i="56"/>
  <c r="F570" i="56"/>
  <c r="A569" i="56"/>
  <c r="F568" i="56"/>
  <c r="F566" i="56"/>
  <c r="A565" i="56"/>
  <c r="F564" i="56"/>
  <c r="F563" i="56"/>
  <c r="F562" i="56"/>
  <c r="F561" i="56"/>
  <c r="F560" i="56"/>
  <c r="A559" i="56"/>
  <c r="F558" i="56"/>
  <c r="A558" i="56"/>
  <c r="A557" i="56"/>
  <c r="F556" i="56"/>
  <c r="A555" i="56"/>
  <c r="F554" i="56"/>
  <c r="A553" i="56"/>
  <c r="F552" i="56"/>
  <c r="A551" i="56"/>
  <c r="A550" i="56"/>
  <c r="F546" i="56"/>
  <c r="A545" i="56"/>
  <c r="A544" i="56"/>
  <c r="F543" i="56"/>
  <c r="A542" i="56"/>
  <c r="A541" i="56"/>
  <c r="A540" i="56"/>
  <c r="A539" i="56"/>
  <c r="C538" i="56"/>
  <c r="F538" i="56" s="1"/>
  <c r="A537" i="56"/>
  <c r="C536" i="56"/>
  <c r="F536" i="56" s="1"/>
  <c r="A535" i="56"/>
  <c r="A533" i="56"/>
  <c r="A531" i="56"/>
  <c r="A530" i="56"/>
  <c r="A527" i="56"/>
  <c r="A525" i="56"/>
  <c r="C524" i="56"/>
  <c r="A523" i="56"/>
  <c r="C522" i="56"/>
  <c r="A521" i="56"/>
  <c r="A519" i="56"/>
  <c r="A517" i="56"/>
  <c r="A515" i="56"/>
  <c r="A513" i="56"/>
  <c r="A512" i="56"/>
  <c r="A511" i="56"/>
  <c r="C510" i="56"/>
  <c r="A509" i="56"/>
  <c r="F508" i="56"/>
  <c r="A494" i="56"/>
  <c r="A492" i="56"/>
  <c r="A490" i="56"/>
  <c r="C489" i="56"/>
  <c r="A488" i="56"/>
  <c r="E487" i="56"/>
  <c r="E520" i="56" s="1"/>
  <c r="F520" i="56" s="1"/>
  <c r="A486" i="56"/>
  <c r="A484" i="56"/>
  <c r="A482" i="56"/>
  <c r="A480" i="56"/>
  <c r="A478" i="56"/>
  <c r="A477" i="56"/>
  <c r="A476" i="56"/>
  <c r="A474" i="56"/>
  <c r="A473" i="56"/>
  <c r="A472" i="56"/>
  <c r="A470" i="56"/>
  <c r="A469" i="56"/>
  <c r="A457" i="56"/>
  <c r="A453" i="56"/>
  <c r="A451" i="56"/>
  <c r="C450" i="56"/>
  <c r="A449" i="56"/>
  <c r="A447" i="56"/>
  <c r="A445" i="56"/>
  <c r="A443" i="56"/>
  <c r="A441" i="56"/>
  <c r="A440" i="56"/>
  <c r="A439" i="56"/>
  <c r="A437" i="56"/>
  <c r="A436" i="56"/>
  <c r="A435" i="56"/>
  <c r="F419" i="56"/>
  <c r="A418" i="56"/>
  <c r="C417" i="56"/>
  <c r="F417" i="56" s="1"/>
  <c r="A416" i="56"/>
  <c r="F415" i="56"/>
  <c r="A414" i="56"/>
  <c r="F413" i="56"/>
  <c r="A412" i="56"/>
  <c r="A410" i="56"/>
  <c r="A408" i="56"/>
  <c r="A406" i="56"/>
  <c r="A405" i="56"/>
  <c r="A404" i="56"/>
  <c r="A402" i="56"/>
  <c r="A401" i="56"/>
  <c r="A388" i="56"/>
  <c r="A386" i="56"/>
  <c r="A384" i="56"/>
  <c r="F383" i="56"/>
  <c r="A382" i="56"/>
  <c r="A380" i="56"/>
  <c r="A378" i="56"/>
  <c r="F377" i="56"/>
  <c r="A376" i="56"/>
  <c r="A375" i="56"/>
  <c r="A374" i="56"/>
  <c r="C373" i="56"/>
  <c r="A372" i="56"/>
  <c r="F371" i="56"/>
  <c r="A354" i="56"/>
  <c r="A352" i="56"/>
  <c r="A350" i="56"/>
  <c r="A348" i="56"/>
  <c r="F347" i="56"/>
  <c r="A347" i="56"/>
  <c r="A346" i="56"/>
  <c r="F345" i="56"/>
  <c r="A345" i="56"/>
  <c r="A344" i="56"/>
  <c r="F343" i="56"/>
  <c r="A343" i="56"/>
  <c r="A342" i="56"/>
  <c r="F341" i="56"/>
  <c r="A341" i="56"/>
  <c r="A340" i="56"/>
  <c r="F339" i="56"/>
  <c r="A339" i="56"/>
  <c r="A338" i="56"/>
  <c r="F337" i="56"/>
  <c r="A337" i="56"/>
  <c r="A336" i="56"/>
  <c r="A335" i="56"/>
  <c r="A334" i="56"/>
  <c r="A333" i="56"/>
  <c r="F331" i="56"/>
  <c r="A331" i="56"/>
  <c r="A330" i="56"/>
  <c r="F329" i="56"/>
  <c r="A329" i="56"/>
  <c r="F327" i="56"/>
  <c r="A327" i="56"/>
  <c r="A326" i="56"/>
  <c r="F325" i="56"/>
  <c r="A325" i="56"/>
  <c r="A324" i="56"/>
  <c r="F323" i="56"/>
  <c r="A323" i="56"/>
  <c r="A322" i="56"/>
  <c r="F321" i="56"/>
  <c r="A321" i="56"/>
  <c r="A320" i="56"/>
  <c r="F319" i="56"/>
  <c r="A319" i="56"/>
  <c r="A318" i="56"/>
  <c r="A317" i="56"/>
  <c r="A316" i="56"/>
  <c r="F315" i="56"/>
  <c r="A315" i="56"/>
  <c r="A314" i="56"/>
  <c r="F313" i="56"/>
  <c r="A313" i="56"/>
  <c r="A312" i="56"/>
  <c r="F311" i="56"/>
  <c r="A311" i="56"/>
  <c r="A310" i="56"/>
  <c r="F309" i="56"/>
  <c r="A309" i="56"/>
  <c r="A308" i="56"/>
  <c r="F307" i="56"/>
  <c r="A307" i="56"/>
  <c r="A306" i="56"/>
  <c r="F305" i="56"/>
  <c r="A305" i="56"/>
  <c r="A304" i="56"/>
  <c r="F303" i="56"/>
  <c r="A303" i="56"/>
  <c r="A302" i="56"/>
  <c r="F301" i="56"/>
  <c r="A301" i="56"/>
  <c r="A300" i="56"/>
  <c r="F299" i="56"/>
  <c r="A299" i="56"/>
  <c r="A298" i="56"/>
  <c r="F297" i="56"/>
  <c r="A297" i="56"/>
  <c r="A296" i="56"/>
  <c r="F295" i="56"/>
  <c r="A295" i="56"/>
  <c r="A294" i="56"/>
  <c r="F293" i="56"/>
  <c r="A293" i="56"/>
  <c r="A292" i="56"/>
  <c r="A291" i="56"/>
  <c r="A290" i="56"/>
  <c r="F288" i="56"/>
  <c r="A288" i="56"/>
  <c r="A287" i="56"/>
  <c r="F286" i="56"/>
  <c r="A286" i="56"/>
  <c r="A285" i="56"/>
  <c r="F284" i="56"/>
  <c r="A284" i="56"/>
  <c r="A283" i="56"/>
  <c r="F282" i="56"/>
  <c r="A282" i="56"/>
  <c r="A281" i="56"/>
  <c r="A280" i="56"/>
  <c r="A279" i="56"/>
  <c r="A278" i="56"/>
  <c r="A277" i="56"/>
  <c r="A276" i="56"/>
  <c r="A275" i="56"/>
  <c r="A274" i="56"/>
  <c r="A273" i="56"/>
  <c r="A272" i="56"/>
  <c r="A271" i="56"/>
  <c r="F270" i="56"/>
  <c r="A270" i="56"/>
  <c r="A269" i="56"/>
  <c r="A268" i="56"/>
  <c r="A267" i="56"/>
  <c r="A266" i="56"/>
  <c r="A265" i="56"/>
  <c r="A264" i="56"/>
  <c r="A263" i="56"/>
  <c r="A262" i="56"/>
  <c r="F261" i="56"/>
  <c r="A261" i="56"/>
  <c r="A260" i="56"/>
  <c r="A259" i="56"/>
  <c r="A258" i="56"/>
  <c r="A257" i="56"/>
  <c r="A256" i="56"/>
  <c r="A255" i="56"/>
  <c r="A254" i="56"/>
  <c r="A253" i="56"/>
  <c r="F252" i="56"/>
  <c r="A252" i="56"/>
  <c r="A251" i="56"/>
  <c r="A250" i="56"/>
  <c r="A249" i="56"/>
  <c r="A248" i="56"/>
  <c r="A247" i="56"/>
  <c r="A246" i="56"/>
  <c r="A245" i="56"/>
  <c r="A244" i="56"/>
  <c r="F243" i="56"/>
  <c r="A243" i="56"/>
  <c r="A242" i="56"/>
  <c r="A241" i="56"/>
  <c r="A240" i="56"/>
  <c r="A239" i="56"/>
  <c r="A238" i="56"/>
  <c r="F237" i="56"/>
  <c r="A237" i="56"/>
  <c r="A236" i="56"/>
  <c r="A235" i="56"/>
  <c r="A234" i="56"/>
  <c r="A233" i="56"/>
  <c r="A232" i="56"/>
  <c r="A231" i="56"/>
  <c r="A230" i="56"/>
  <c r="A229" i="56"/>
  <c r="A228" i="56"/>
  <c r="A227" i="56"/>
  <c r="F226" i="56"/>
  <c r="A226" i="56"/>
  <c r="A225" i="56"/>
  <c r="A224" i="56"/>
  <c r="A223" i="56"/>
  <c r="A222" i="56"/>
  <c r="A221" i="56"/>
  <c r="A220" i="56"/>
  <c r="A219" i="56"/>
  <c r="A218" i="56"/>
  <c r="A217" i="56"/>
  <c r="F216" i="56"/>
  <c r="A216" i="56"/>
  <c r="A215" i="56"/>
  <c r="A214" i="56"/>
  <c r="A213" i="56"/>
  <c r="A212" i="56"/>
  <c r="A211" i="56"/>
  <c r="A210" i="56"/>
  <c r="A209" i="56"/>
  <c r="F208" i="56"/>
  <c r="A208" i="56"/>
  <c r="A207" i="56"/>
  <c r="A206" i="56"/>
  <c r="A205" i="56"/>
  <c r="A204" i="56"/>
  <c r="A203" i="56"/>
  <c r="A202" i="56"/>
  <c r="A201" i="56"/>
  <c r="A200" i="56"/>
  <c r="A199" i="56"/>
  <c r="F198" i="56"/>
  <c r="A198" i="56"/>
  <c r="A197" i="56"/>
  <c r="A196" i="56"/>
  <c r="A195" i="56"/>
  <c r="A194" i="56"/>
  <c r="A193" i="56"/>
  <c r="A192" i="56"/>
  <c r="A191" i="56"/>
  <c r="F190" i="56"/>
  <c r="A190" i="56"/>
  <c r="A189" i="56"/>
  <c r="A188" i="56"/>
  <c r="A187" i="56"/>
  <c r="A186" i="56"/>
  <c r="A185" i="56"/>
  <c r="A184" i="56"/>
  <c r="A183" i="56"/>
  <c r="A182" i="56"/>
  <c r="A181" i="56"/>
  <c r="F180" i="56"/>
  <c r="A180" i="56"/>
  <c r="A179" i="56"/>
  <c r="A178" i="56"/>
  <c r="A177" i="56"/>
  <c r="A176" i="56"/>
  <c r="A175" i="56"/>
  <c r="A174" i="56"/>
  <c r="A173" i="56"/>
  <c r="F172" i="56"/>
  <c r="A172" i="56"/>
  <c r="A171" i="56"/>
  <c r="A170" i="56"/>
  <c r="A169" i="56"/>
  <c r="A168" i="56"/>
  <c r="A167" i="56"/>
  <c r="A166" i="56"/>
  <c r="A165" i="56"/>
  <c r="A164" i="56"/>
  <c r="F163" i="56"/>
  <c r="A163" i="56"/>
  <c r="A162" i="56"/>
  <c r="A161" i="56"/>
  <c r="A160" i="56"/>
  <c r="A159" i="56"/>
  <c r="A158" i="56"/>
  <c r="A157" i="56"/>
  <c r="A156" i="56"/>
  <c r="A155" i="56"/>
  <c r="A154" i="56"/>
  <c r="F153" i="56"/>
  <c r="A153" i="56"/>
  <c r="A152" i="56"/>
  <c r="A151" i="56"/>
  <c r="A150" i="56"/>
  <c r="A149" i="56"/>
  <c r="A148" i="56"/>
  <c r="A147" i="56"/>
  <c r="A146" i="56"/>
  <c r="A145" i="56"/>
  <c r="A144" i="56"/>
  <c r="A143" i="56"/>
  <c r="A142" i="56"/>
  <c r="A141" i="56"/>
  <c r="A140" i="56"/>
  <c r="A139" i="56"/>
  <c r="A138" i="56"/>
  <c r="A137" i="56"/>
  <c r="A136" i="56"/>
  <c r="A135" i="56"/>
  <c r="A134" i="56"/>
  <c r="F133" i="56"/>
  <c r="A133" i="56"/>
  <c r="A565" i="12" l="1"/>
  <c r="F510" i="56"/>
  <c r="F498" i="56"/>
  <c r="F373" i="56"/>
  <c r="F491" i="56"/>
  <c r="A448" i="56"/>
  <c r="F487" i="56"/>
  <c r="F489" i="56"/>
  <c r="A349" i="56"/>
  <c r="A452" i="56"/>
  <c r="F403" i="56"/>
  <c r="F495" i="56"/>
  <c r="F355" i="56"/>
  <c r="E446" i="56"/>
  <c r="F411" i="56"/>
  <c r="F493" i="56"/>
  <c r="C528" i="56"/>
  <c r="F379" i="56"/>
  <c r="F381" i="56"/>
  <c r="A421" i="56"/>
  <c r="F450" i="56"/>
  <c r="F522" i="56"/>
  <c r="F524" i="56"/>
  <c r="C526" i="56"/>
  <c r="A389" i="56"/>
  <c r="A377" i="56"/>
  <c r="A379" i="56"/>
  <c r="A381" i="56"/>
  <c r="A383" i="56"/>
  <c r="A407" i="56"/>
  <c r="A409" i="56"/>
  <c r="A411" i="56"/>
  <c r="A413" i="56"/>
  <c r="A415" i="56"/>
  <c r="A444" i="56"/>
  <c r="A446" i="56" l="1"/>
  <c r="A520" i="56"/>
  <c r="A442" i="56"/>
  <c r="F425" i="56"/>
  <c r="A450" i="56"/>
  <c r="A516" i="56"/>
  <c r="A561" i="56"/>
  <c r="A475" i="56"/>
  <c r="A491" i="56"/>
  <c r="A524" i="56"/>
  <c r="A538" i="56"/>
  <c r="A483" i="56"/>
  <c r="A575" i="56"/>
  <c r="A518" i="56"/>
  <c r="A556" i="56"/>
  <c r="A536" i="56"/>
  <c r="A489" i="56"/>
  <c r="A481" i="56"/>
  <c r="A403" i="56"/>
  <c r="E485" i="56"/>
  <c r="F485" i="56" s="1"/>
  <c r="F448" i="56"/>
  <c r="A417" i="56"/>
  <c r="E483" i="56"/>
  <c r="E534" i="56" s="1"/>
  <c r="F446" i="56"/>
  <c r="A495" i="56"/>
  <c r="F407" i="56"/>
  <c r="A572" i="56"/>
  <c r="A581" i="56"/>
  <c r="A566" i="56"/>
  <c r="A570" i="56"/>
  <c r="A562" i="56"/>
  <c r="A552" i="56"/>
  <c r="A543" i="56"/>
  <c r="A564" i="56"/>
  <c r="A560" i="56"/>
  <c r="A546" i="56"/>
  <c r="F353" i="56"/>
  <c r="A423" i="56"/>
  <c r="A526" i="56"/>
  <c r="F526" i="56"/>
  <c r="A534" i="56"/>
  <c r="A510" i="56"/>
  <c r="A487" i="56"/>
  <c r="A479" i="56"/>
  <c r="A438" i="56"/>
  <c r="A373" i="56"/>
  <c r="A493" i="56"/>
  <c r="A387" i="56"/>
  <c r="A584" i="56"/>
  <c r="A454" i="56"/>
  <c r="A578" i="56"/>
  <c r="A554" i="56"/>
  <c r="A514" i="56"/>
  <c r="A563" i="56"/>
  <c r="A371" i="56"/>
  <c r="A568" i="56"/>
  <c r="A532" i="56"/>
  <c r="A508" i="56"/>
  <c r="A485" i="56"/>
  <c r="A471" i="56"/>
  <c r="A528" i="56"/>
  <c r="F528" i="56"/>
  <c r="A522" i="56"/>
  <c r="A355" i="56"/>
  <c r="A419" i="56"/>
  <c r="A385" i="56"/>
  <c r="A425" i="56"/>
  <c r="F483" i="56" l="1"/>
  <c r="F534" i="56"/>
  <c r="E518" i="56"/>
  <c r="F518" i="56" s="1"/>
  <c r="F409" i="56"/>
  <c r="F438" i="56" l="1"/>
  <c r="F442" i="56" l="1"/>
  <c r="E444" i="56"/>
  <c r="F444" i="56" s="1"/>
  <c r="F471" i="56" l="1"/>
  <c r="E479" i="56" l="1"/>
  <c r="F475" i="56"/>
  <c r="F479" i="56" l="1"/>
  <c r="E481" i="56"/>
  <c r="E514" i="56" s="1"/>
  <c r="F481" i="56" l="1"/>
  <c r="E516" i="56" l="1"/>
  <c r="E532" i="56" s="1"/>
  <c r="F514" i="56"/>
  <c r="F532" i="56" l="1"/>
  <c r="F516" i="56"/>
  <c r="F586" i="56" l="1"/>
  <c r="R568" i="12" l="1"/>
  <c r="K3" i="12" l="1"/>
  <c r="C94" i="32" l="1"/>
  <c r="E27" i="45"/>
  <c r="E26" i="45"/>
  <c r="E23" i="45"/>
  <c r="E19" i="45"/>
  <c r="F27" i="45"/>
  <c r="F26" i="45"/>
  <c r="F25" i="35"/>
  <c r="F22" i="35"/>
  <c r="E300" i="27"/>
  <c r="F300" i="27" s="1"/>
  <c r="E316" i="27"/>
  <c r="F316" i="27" s="1"/>
  <c r="E311" i="27"/>
  <c r="F311" i="27" s="1"/>
  <c r="E302" i="27"/>
  <c r="E298" i="27"/>
  <c r="E292" i="27"/>
  <c r="E267" i="27"/>
  <c r="E194" i="27"/>
  <c r="F192" i="27"/>
  <c r="E190" i="27"/>
  <c r="F185" i="27"/>
  <c r="E139" i="27"/>
  <c r="F60" i="27"/>
  <c r="F62" i="27"/>
  <c r="E13" i="35" l="1"/>
  <c r="E19" i="35"/>
  <c r="E10" i="35"/>
  <c r="E4" i="35"/>
  <c r="E7" i="35"/>
  <c r="F19" i="35"/>
  <c r="E16" i="35"/>
  <c r="H13" i="35"/>
  <c r="F13" i="35"/>
  <c r="F16" i="35" l="1"/>
  <c r="F4" i="35" l="1"/>
  <c r="F10" i="35"/>
  <c r="J4" i="35"/>
  <c r="K4" i="35" s="1"/>
  <c r="L4" i="35" s="1"/>
  <c r="A3" i="35"/>
  <c r="A6" i="35" s="1"/>
  <c r="A9" i="35" s="1"/>
  <c r="A12" i="35" s="1"/>
  <c r="A15" i="35" s="1"/>
  <c r="A18" i="35" s="1"/>
  <c r="A21" i="35" s="1"/>
  <c r="A24" i="35" s="1"/>
  <c r="F7" i="35" l="1"/>
  <c r="F27" i="35" s="1"/>
  <c r="D34" i="19" l="1"/>
  <c r="L3" i="12" l="1"/>
  <c r="M3" i="12" s="1"/>
  <c r="N3" i="12" s="1"/>
  <c r="H7" i="15" s="1"/>
  <c r="H39" i="15" s="1"/>
  <c r="E56" i="49" l="1"/>
  <c r="E29" i="49"/>
  <c r="E321" i="27"/>
  <c r="E225" i="27"/>
  <c r="E227" i="27" s="1"/>
  <c r="E216" i="27"/>
  <c r="E218" i="27" s="1"/>
  <c r="E201" i="27"/>
  <c r="E203" i="27"/>
  <c r="E55" i="24"/>
  <c r="E49" i="24"/>
  <c r="E25" i="24"/>
  <c r="E23" i="24"/>
  <c r="E43" i="49"/>
  <c r="E44" i="49" s="1"/>
  <c r="C7" i="29" l="1"/>
  <c r="C21" i="29" s="1"/>
  <c r="C26" i="29" s="1"/>
  <c r="E152" i="27"/>
  <c r="E148" i="27"/>
  <c r="E144" i="27"/>
  <c r="F139" i="27"/>
  <c r="F337" i="27" l="1"/>
  <c r="M13" i="33" l="1"/>
  <c r="N13" i="33" s="1"/>
  <c r="O13" i="33" s="1"/>
  <c r="F132" i="27" l="1"/>
  <c r="F57" i="24" l="1"/>
  <c r="F55" i="24"/>
  <c r="E53" i="24"/>
  <c r="F53" i="24" s="1"/>
  <c r="I45" i="24"/>
  <c r="A56" i="49" l="1"/>
  <c r="A50" i="49"/>
  <c r="A43" i="49"/>
  <c r="A44" i="49" s="1"/>
  <c r="F66" i="49"/>
  <c r="F67" i="49" s="1"/>
  <c r="E323" i="27" l="1"/>
  <c r="F323" i="27" s="1"/>
  <c r="G319" i="27"/>
  <c r="H311" i="27"/>
  <c r="J296" i="27"/>
  <c r="F88" i="27"/>
  <c r="F86" i="27"/>
  <c r="F80" i="27"/>
  <c r="F260" i="27" l="1"/>
  <c r="F258" i="27"/>
  <c r="F259" i="27"/>
  <c r="M60" i="49" l="1"/>
  <c r="L60" i="49"/>
  <c r="K60" i="49"/>
  <c r="L59" i="49"/>
  <c r="K59" i="49"/>
  <c r="M59" i="49" s="1"/>
  <c r="E50" i="49"/>
  <c r="C11" i="49"/>
  <c r="F11" i="49" l="1"/>
  <c r="F63" i="50" l="1"/>
  <c r="F64" i="50" s="1"/>
  <c r="F66" i="50" s="1"/>
  <c r="C53" i="50" l="1"/>
  <c r="E51" i="49" l="1"/>
  <c r="Q46" i="30" l="1"/>
  <c r="C55" i="50"/>
  <c r="C49" i="50" l="1"/>
  <c r="E55" i="50" l="1"/>
  <c r="F55" i="50" s="1"/>
  <c r="G19" i="24"/>
  <c r="H19" i="24" s="1"/>
  <c r="I19" i="24" s="1"/>
  <c r="E49" i="50" l="1"/>
  <c r="E53" i="50" s="1"/>
  <c r="F53" i="50" s="1"/>
  <c r="C23" i="24"/>
  <c r="F23" i="24" s="1"/>
  <c r="C25" i="24"/>
  <c r="F25" i="24" s="1"/>
  <c r="F49" i="50" l="1"/>
  <c r="G118" i="32"/>
  <c r="C117" i="32"/>
  <c r="F57" i="50" l="1"/>
  <c r="H57" i="50" l="1"/>
  <c r="F60" i="50"/>
  <c r="A19" i="49" l="1"/>
  <c r="F59" i="49"/>
  <c r="A59" i="49"/>
  <c r="A29" i="49" l="1"/>
  <c r="A51" i="49" s="1"/>
  <c r="A14" i="49"/>
  <c r="A7" i="49"/>
  <c r="A9" i="49" s="1"/>
  <c r="A11" i="49" s="1"/>
  <c r="G94" i="49"/>
  <c r="G93" i="49"/>
  <c r="D93" i="49"/>
  <c r="D94" i="49" s="1"/>
  <c r="I94" i="49" s="1"/>
  <c r="C14" i="49" l="1"/>
  <c r="F14" i="49" s="1"/>
  <c r="D99" i="49"/>
  <c r="D98" i="49"/>
  <c r="D97" i="49"/>
  <c r="K62" i="24"/>
  <c r="L61" i="24" s="1"/>
  <c r="L62" i="24" s="1"/>
  <c r="L63" i="24" s="1"/>
  <c r="C17" i="49" l="1"/>
  <c r="F17" i="49" s="1"/>
  <c r="C7" i="49"/>
  <c r="K20" i="24"/>
  <c r="C9" i="49" l="1"/>
  <c r="F9" i="49" s="1"/>
  <c r="H7" i="49"/>
  <c r="I7" i="49" s="1"/>
  <c r="J7" i="49" s="1"/>
  <c r="F7" i="49"/>
  <c r="C51" i="49" l="1"/>
  <c r="F51" i="49" s="1"/>
  <c r="C62" i="24" l="1"/>
  <c r="C19" i="24"/>
  <c r="F17" i="33"/>
  <c r="F15" i="33"/>
  <c r="C21" i="24" l="1"/>
  <c r="F21" i="24" s="1"/>
  <c r="C19" i="49"/>
  <c r="C22" i="49" s="1"/>
  <c r="C29" i="49"/>
  <c r="F29" i="49" s="1"/>
  <c r="C43" i="49"/>
  <c r="F43" i="49" s="1"/>
  <c r="C44" i="49"/>
  <c r="F44" i="49" s="1"/>
  <c r="C50" i="49"/>
  <c r="F50" i="49" s="1"/>
  <c r="C56" i="49" l="1"/>
  <c r="F56" i="49" s="1"/>
  <c r="F19" i="49" l="1"/>
  <c r="F22" i="49"/>
  <c r="J234" i="38"/>
  <c r="J235" i="38"/>
  <c r="F61" i="49" l="1"/>
  <c r="G67" i="49" s="1"/>
  <c r="I15" i="33"/>
  <c r="G66" i="49" l="1"/>
  <c r="M61" i="49"/>
  <c r="H61" i="49"/>
  <c r="K15" i="33"/>
  <c r="F328" i="27" l="1"/>
  <c r="F302" i="27"/>
  <c r="E20" i="45" l="1"/>
  <c r="F234" i="38" l="1"/>
  <c r="F23" i="45"/>
  <c r="F20" i="45"/>
  <c r="F19" i="45"/>
  <c r="A18" i="45"/>
  <c r="A22" i="45" s="1"/>
  <c r="A25" i="45" s="1"/>
  <c r="M36" i="45"/>
  <c r="M40" i="45" s="1"/>
  <c r="F35" i="45"/>
  <c r="F34" i="45"/>
  <c r="L31" i="45"/>
  <c r="E35" i="45"/>
  <c r="G35" i="45" l="1"/>
  <c r="E34" i="45"/>
  <c r="E36" i="45" s="1"/>
  <c r="G36" i="45" s="1"/>
  <c r="G34" i="45" l="1"/>
  <c r="G38" i="45" s="1"/>
  <c r="H38" i="45" s="1"/>
  <c r="A234" i="38" l="1"/>
  <c r="H72" i="38"/>
  <c r="I40" i="38"/>
  <c r="J40" i="38" s="1"/>
  <c r="K43" i="38"/>
  <c r="L43" i="38" s="1"/>
  <c r="L45" i="38" s="1"/>
  <c r="J32" i="38"/>
  <c r="H33" i="38"/>
  <c r="I33" i="38" s="1"/>
  <c r="L29" i="38"/>
  <c r="M29" i="38" s="1"/>
  <c r="H26" i="38"/>
  <c r="F21" i="38"/>
  <c r="E111" i="38"/>
  <c r="J103" i="38"/>
  <c r="K227" i="38"/>
  <c r="L227" i="38" s="1"/>
  <c r="M227" i="38" s="1"/>
  <c r="N227" i="38" s="1"/>
  <c r="E163" i="38"/>
  <c r="E142" i="38"/>
  <c r="E140" i="38"/>
  <c r="E138" i="38"/>
  <c r="I136" i="38"/>
  <c r="L104" i="38"/>
  <c r="L103" i="38"/>
  <c r="M103" i="38" s="1"/>
  <c r="I103" i="38"/>
  <c r="F25" i="38"/>
  <c r="F26" i="38"/>
  <c r="C94" i="38" l="1"/>
  <c r="F94" i="38" s="1"/>
  <c r="J124" i="36" l="1"/>
  <c r="H128" i="36"/>
  <c r="H129" i="36" s="1"/>
  <c r="I129" i="36" s="1"/>
  <c r="C131" i="36"/>
  <c r="E43" i="24" l="1"/>
  <c r="A15" i="33" l="1"/>
  <c r="A17" i="33" s="1"/>
  <c r="F332" i="27" l="1"/>
  <c r="C72" i="32"/>
  <c r="F33" i="35" l="1"/>
  <c r="F32" i="35"/>
  <c r="H231" i="38" l="1"/>
  <c r="F231" i="38"/>
  <c r="H227" i="38"/>
  <c r="H229" i="38"/>
  <c r="F229" i="38"/>
  <c r="F227" i="38"/>
  <c r="I231" i="38" l="1"/>
  <c r="I229" i="38"/>
  <c r="A225" i="38"/>
  <c r="A227" i="38" s="1"/>
  <c r="A229" i="38" s="1"/>
  <c r="A231" i="38" s="1"/>
  <c r="F225" i="38"/>
  <c r="F160" i="38"/>
  <c r="F138" i="38"/>
  <c r="A209" i="38"/>
  <c r="A136" i="38"/>
  <c r="A138" i="38" s="1"/>
  <c r="A140" i="38" s="1"/>
  <c r="F136" i="38"/>
  <c r="H238" i="38"/>
  <c r="F326" i="27" l="1"/>
  <c r="F324" i="27"/>
  <c r="F321" i="27"/>
  <c r="A213" i="38" l="1"/>
  <c r="A216" i="38" s="1"/>
  <c r="A179" i="38"/>
  <c r="A181" i="38" s="1"/>
  <c r="A183" i="38" s="1"/>
  <c r="A185" i="38" s="1"/>
  <c r="A187" i="38" s="1"/>
  <c r="A189" i="38" s="1"/>
  <c r="A192" i="38" s="1"/>
  <c r="A194" i="38" s="1"/>
  <c r="A196" i="38" s="1"/>
  <c r="A200" i="38" s="1"/>
  <c r="A202" i="38" s="1"/>
  <c r="A142" i="38"/>
  <c r="A144" i="38" s="1"/>
  <c r="A146" i="38" s="1"/>
  <c r="A148" i="38" s="1"/>
  <c r="A150" i="38" s="1"/>
  <c r="A152" i="38" s="1"/>
  <c r="A154" i="38" s="1"/>
  <c r="A156" i="38" s="1"/>
  <c r="A158" i="38" s="1"/>
  <c r="A119" i="38"/>
  <c r="A122" i="38" s="1"/>
  <c r="A125" i="38" s="1"/>
  <c r="A129" i="38" s="1"/>
  <c r="A132" i="38" s="1"/>
  <c r="A103" i="38"/>
  <c r="A106" i="38" s="1"/>
  <c r="A110" i="38" s="1"/>
  <c r="A114" i="38" s="1"/>
  <c r="A82" i="38"/>
  <c r="A86" i="38" s="1"/>
  <c r="A89" i="38" s="1"/>
  <c r="A97" i="38" s="1"/>
  <c r="A77" i="38"/>
  <c r="A70" i="38"/>
  <c r="A72" i="38" s="1"/>
  <c r="A62" i="38"/>
  <c r="A65" i="38" s="1"/>
  <c r="A49" i="38"/>
  <c r="A54" i="38" s="1"/>
  <c r="A40" i="38"/>
  <c r="A43" i="38" s="1"/>
  <c r="A45" i="38" s="1"/>
  <c r="E156" i="38"/>
  <c r="K158" i="38"/>
  <c r="K156" i="38"/>
  <c r="I119" i="38"/>
  <c r="F55" i="38"/>
  <c r="C52" i="38"/>
  <c r="F52" i="38" s="1"/>
  <c r="F41" i="38"/>
  <c r="E17" i="38"/>
  <c r="F17" i="38" s="1"/>
  <c r="F221" i="38"/>
  <c r="F218" i="38"/>
  <c r="F216" i="38"/>
  <c r="F213" i="38"/>
  <c r="F209" i="38"/>
  <c r="F202" i="38"/>
  <c r="F200" i="38"/>
  <c r="F196" i="38"/>
  <c r="F194" i="38"/>
  <c r="F192" i="38"/>
  <c r="F189" i="38"/>
  <c r="F187" i="38"/>
  <c r="F185" i="38"/>
  <c r="F183" i="38"/>
  <c r="F181" i="38"/>
  <c r="F179" i="38"/>
  <c r="F173" i="38"/>
  <c r="F171" i="38"/>
  <c r="F169" i="38"/>
  <c r="F167" i="38"/>
  <c r="F165" i="38"/>
  <c r="F163" i="38"/>
  <c r="F158" i="38"/>
  <c r="F154" i="38"/>
  <c r="F152" i="38"/>
  <c r="F150" i="38"/>
  <c r="F148" i="38"/>
  <c r="F146" i="38"/>
  <c r="F144" i="38"/>
  <c r="F142" i="38"/>
  <c r="F140" i="38"/>
  <c r="F133" i="38"/>
  <c r="F126" i="38"/>
  <c r="F115" i="38"/>
  <c r="F111" i="38"/>
  <c r="F70" i="38"/>
  <c r="F33" i="38"/>
  <c r="F30" i="38"/>
  <c r="F27" i="38"/>
  <c r="A23" i="38"/>
  <c r="A17" i="38"/>
  <c r="A14" i="38"/>
  <c r="A7" i="38"/>
  <c r="A9" i="38" s="1"/>
  <c r="A11" i="38" s="1"/>
  <c r="M243" i="38"/>
  <c r="O248" i="38" s="1"/>
  <c r="L238" i="38"/>
  <c r="C50" i="38" l="1"/>
  <c r="F50" i="38" s="1"/>
  <c r="C51" i="38"/>
  <c r="F51" i="38" s="1"/>
  <c r="A218" i="38"/>
  <c r="A221" i="38" s="1"/>
  <c r="A160" i="38"/>
  <c r="A163" i="38" s="1"/>
  <c r="A165" i="38" s="1"/>
  <c r="A167" i="38" s="1"/>
  <c r="A169" i="38" s="1"/>
  <c r="A171" i="38" s="1"/>
  <c r="A173" i="38" s="1"/>
  <c r="F46" i="38"/>
  <c r="C86" i="38"/>
  <c r="F86" i="38" s="1"/>
  <c r="C90" i="38"/>
  <c r="F78" i="38"/>
  <c r="F156" i="38"/>
  <c r="M247" i="38"/>
  <c r="O247" i="38" s="1"/>
  <c r="C65" i="38" l="1"/>
  <c r="F65" i="38" s="1"/>
  <c r="C83" i="38"/>
  <c r="C130" i="38" s="1"/>
  <c r="F130" i="38" s="1"/>
  <c r="C43" i="38"/>
  <c r="F43" i="38" s="1"/>
  <c r="C97" i="38"/>
  <c r="F97" i="38" s="1"/>
  <c r="F62" i="38"/>
  <c r="C107" i="38"/>
  <c r="F107" i="38" s="1"/>
  <c r="F104" i="38"/>
  <c r="F90" i="38"/>
  <c r="C120" i="38"/>
  <c r="F51" i="24"/>
  <c r="F83" i="38" l="1"/>
  <c r="F120" i="38"/>
  <c r="C123" i="38"/>
  <c r="F123" i="38" s="1"/>
  <c r="F49" i="24"/>
  <c r="M26" i="33" l="1"/>
  <c r="M30" i="33" s="1"/>
  <c r="F314" i="27"/>
  <c r="F312" i="27"/>
  <c r="F309" i="27"/>
  <c r="F296" i="27"/>
  <c r="F298" i="27"/>
  <c r="F319" i="27" l="1"/>
  <c r="F307" i="27"/>
  <c r="F305" i="27"/>
  <c r="F294" i="27"/>
  <c r="F292" i="27"/>
  <c r="F177" i="27"/>
  <c r="F201" i="27"/>
  <c r="F203" i="27"/>
  <c r="F199" i="27"/>
  <c r="F197" i="27"/>
  <c r="F194" i="27"/>
  <c r="F190" i="27"/>
  <c r="F188" i="27"/>
  <c r="F183" i="27"/>
  <c r="F181" i="27"/>
  <c r="F179" i="27"/>
  <c r="F274" i="27"/>
  <c r="F272" i="27"/>
  <c r="F270" i="27"/>
  <c r="F227" i="27" l="1"/>
  <c r="F225" i="27"/>
  <c r="F223" i="27"/>
  <c r="F218" i="27"/>
  <c r="F216" i="27"/>
  <c r="F214" i="27"/>
  <c r="F235" i="27" l="1"/>
  <c r="E236" i="27"/>
  <c r="O31" i="33"/>
  <c r="O30" i="33"/>
  <c r="F62" i="24"/>
  <c r="F47" i="24"/>
  <c r="F45" i="24"/>
  <c r="F43" i="24"/>
  <c r="F19" i="24"/>
  <c r="F64" i="24" l="1"/>
  <c r="H64" i="24" s="1"/>
  <c r="G62" i="24"/>
  <c r="J62" i="24" s="1"/>
  <c r="E238" i="27"/>
  <c r="F238" i="27" s="1"/>
  <c r="F236" i="27"/>
  <c r="E230" i="27"/>
  <c r="F229" i="27"/>
  <c r="I64" i="24" l="1"/>
  <c r="E232" i="27"/>
  <c r="F232" i="27" s="1"/>
  <c r="F230" i="27"/>
  <c r="H388" i="36" l="1"/>
  <c r="H393" i="36"/>
  <c r="F594" i="36" l="1"/>
  <c r="F596" i="36" s="1"/>
  <c r="F616" i="36" s="1"/>
  <c r="F558" i="36"/>
  <c r="F557" i="36"/>
  <c r="F556" i="36"/>
  <c r="F563" i="36" s="1"/>
  <c r="F587" i="36" s="1"/>
  <c r="F549" i="36"/>
  <c r="F546" i="36"/>
  <c r="F544" i="36"/>
  <c r="F542" i="36"/>
  <c r="F540" i="36"/>
  <c r="F538" i="36"/>
  <c r="F536" i="36"/>
  <c r="F532" i="36"/>
  <c r="F530" i="36"/>
  <c r="F528" i="36"/>
  <c r="F526" i="36"/>
  <c r="F522" i="36"/>
  <c r="F519" i="36"/>
  <c r="E517" i="36"/>
  <c r="F517" i="36" s="1"/>
  <c r="F514" i="36"/>
  <c r="F513" i="36"/>
  <c r="F512" i="36"/>
  <c r="F511" i="36"/>
  <c r="F510" i="36"/>
  <c r="F509" i="36"/>
  <c r="F508" i="36"/>
  <c r="F507" i="36"/>
  <c r="F506" i="36"/>
  <c r="F501" i="36"/>
  <c r="F500" i="36"/>
  <c r="F499" i="36"/>
  <c r="F498" i="36"/>
  <c r="F497" i="36"/>
  <c r="F496" i="36"/>
  <c r="F495" i="36"/>
  <c r="F494" i="36"/>
  <c r="F493" i="36"/>
  <c r="F488" i="36"/>
  <c r="F486" i="36"/>
  <c r="F485" i="36"/>
  <c r="F484" i="36"/>
  <c r="F483" i="36"/>
  <c r="F482" i="36"/>
  <c r="F481" i="36"/>
  <c r="F480" i="36"/>
  <c r="H477" i="36"/>
  <c r="F475" i="36"/>
  <c r="F474" i="36"/>
  <c r="F473" i="36"/>
  <c r="F472" i="36"/>
  <c r="F471" i="36"/>
  <c r="F470" i="36"/>
  <c r="F469" i="36"/>
  <c r="F468" i="36"/>
  <c r="F467" i="36"/>
  <c r="F466" i="36"/>
  <c r="F465" i="36"/>
  <c r="F464" i="36"/>
  <c r="F463" i="36"/>
  <c r="F461" i="36"/>
  <c r="F448" i="36"/>
  <c r="F446" i="36"/>
  <c r="F444" i="36"/>
  <c r="F442" i="36"/>
  <c r="F440" i="36"/>
  <c r="F438" i="36"/>
  <c r="F430" i="36"/>
  <c r="F429" i="36"/>
  <c r="F427" i="36"/>
  <c r="H425" i="36"/>
  <c r="F425" i="36"/>
  <c r="H424" i="36"/>
  <c r="F424" i="36"/>
  <c r="I422" i="36"/>
  <c r="F422" i="36"/>
  <c r="I421" i="36"/>
  <c r="F421" i="36"/>
  <c r="I420" i="36"/>
  <c r="F420" i="36"/>
  <c r="F418" i="36"/>
  <c r="F417" i="36"/>
  <c r="F416" i="36"/>
  <c r="F415" i="36"/>
  <c r="F414" i="36"/>
  <c r="F409" i="36"/>
  <c r="F401" i="36"/>
  <c r="F399" i="36"/>
  <c r="F398" i="36"/>
  <c r="F397" i="36"/>
  <c r="F396" i="36"/>
  <c r="F395" i="36"/>
  <c r="F394" i="36"/>
  <c r="F393" i="36"/>
  <c r="F392" i="36"/>
  <c r="F391" i="36"/>
  <c r="F390" i="36"/>
  <c r="F389" i="36"/>
  <c r="F388" i="36"/>
  <c r="F383" i="36"/>
  <c r="H382" i="36"/>
  <c r="F382" i="36"/>
  <c r="H381" i="36"/>
  <c r="F381" i="36"/>
  <c r="H380" i="36"/>
  <c r="F380" i="36"/>
  <c r="H379" i="36"/>
  <c r="F379" i="36"/>
  <c r="H378" i="36"/>
  <c r="F378" i="36"/>
  <c r="H368" i="36"/>
  <c r="F368" i="36"/>
  <c r="J367" i="36"/>
  <c r="I367" i="36"/>
  <c r="F367" i="36"/>
  <c r="J366" i="36"/>
  <c r="I366" i="36"/>
  <c r="F366" i="36"/>
  <c r="J365" i="36"/>
  <c r="I365" i="36"/>
  <c r="F365" i="36"/>
  <c r="I364" i="36"/>
  <c r="H364" i="36"/>
  <c r="F364" i="36"/>
  <c r="F363" i="36"/>
  <c r="E355" i="36"/>
  <c r="F355" i="36" s="1"/>
  <c r="E354" i="36"/>
  <c r="F354" i="36" s="1"/>
  <c r="E353" i="36"/>
  <c r="F353" i="36" s="1"/>
  <c r="E352" i="36"/>
  <c r="F352" i="36" s="1"/>
  <c r="F351" i="36"/>
  <c r="E348" i="36"/>
  <c r="F348" i="36" s="1"/>
  <c r="E347" i="36"/>
  <c r="F347" i="36" s="1"/>
  <c r="E346" i="36"/>
  <c r="F346" i="36" s="1"/>
  <c r="F345" i="36"/>
  <c r="F342" i="36"/>
  <c r="E342" i="36"/>
  <c r="F341" i="36"/>
  <c r="E341" i="36"/>
  <c r="E340" i="36"/>
  <c r="F340" i="36" s="1"/>
  <c r="F339" i="36"/>
  <c r="E339" i="36"/>
  <c r="F338" i="36"/>
  <c r="M335" i="36"/>
  <c r="L335" i="36"/>
  <c r="K335" i="36"/>
  <c r="E335" i="36"/>
  <c r="F335" i="36" s="1"/>
  <c r="M334" i="36"/>
  <c r="L334" i="36"/>
  <c r="K334" i="36"/>
  <c r="E334" i="36"/>
  <c r="F334" i="36" s="1"/>
  <c r="M333" i="36"/>
  <c r="L333" i="36"/>
  <c r="K333" i="36"/>
  <c r="R333" i="36" s="1"/>
  <c r="E333" i="36"/>
  <c r="F333" i="36" s="1"/>
  <c r="M332" i="36"/>
  <c r="L332" i="36"/>
  <c r="K332" i="36"/>
  <c r="E332" i="36"/>
  <c r="F332" i="36" s="1"/>
  <c r="M331" i="36"/>
  <c r="L331" i="36"/>
  <c r="K331" i="36"/>
  <c r="R331" i="36" s="1"/>
  <c r="F331" i="36"/>
  <c r="F324" i="36"/>
  <c r="F323" i="36"/>
  <c r="F322" i="36"/>
  <c r="H320" i="36"/>
  <c r="E320" i="36"/>
  <c r="F320" i="36" s="1"/>
  <c r="H319" i="36"/>
  <c r="E319" i="36"/>
  <c r="F319" i="36" s="1"/>
  <c r="H318" i="36"/>
  <c r="F318" i="36"/>
  <c r="F313" i="36"/>
  <c r="C313" i="36"/>
  <c r="H311" i="36"/>
  <c r="E311" i="36"/>
  <c r="F311" i="36" s="1"/>
  <c r="H310" i="36"/>
  <c r="F310" i="36"/>
  <c r="H298" i="36"/>
  <c r="E298" i="36"/>
  <c r="F298" i="36" s="1"/>
  <c r="H297" i="36"/>
  <c r="E297" i="36"/>
  <c r="F297" i="36" s="1"/>
  <c r="H296" i="36"/>
  <c r="E296" i="36"/>
  <c r="F296" i="36" s="1"/>
  <c r="H295" i="36"/>
  <c r="F295" i="36"/>
  <c r="F292" i="36"/>
  <c r="H290" i="36"/>
  <c r="E290" i="36"/>
  <c r="F290" i="36" s="1"/>
  <c r="H289" i="36"/>
  <c r="E289" i="36"/>
  <c r="F289" i="36" s="1"/>
  <c r="H288" i="36"/>
  <c r="E288" i="36"/>
  <c r="F288" i="36" s="1"/>
  <c r="H287" i="36"/>
  <c r="F287" i="36"/>
  <c r="E287" i="36"/>
  <c r="H286" i="36"/>
  <c r="F286" i="36"/>
  <c r="J285" i="36"/>
  <c r="F284" i="36"/>
  <c r="H282" i="36"/>
  <c r="E282" i="36"/>
  <c r="F282" i="36" s="1"/>
  <c r="H281" i="36"/>
  <c r="F281" i="36"/>
  <c r="E281" i="36"/>
  <c r="H280" i="36"/>
  <c r="E280" i="36"/>
  <c r="F280" i="36" s="1"/>
  <c r="H279" i="36"/>
  <c r="E279" i="36"/>
  <c r="F279" i="36" s="1"/>
  <c r="H278" i="36"/>
  <c r="F278" i="36"/>
  <c r="H276" i="36"/>
  <c r="F276" i="36"/>
  <c r="F269" i="36"/>
  <c r="F265" i="36"/>
  <c r="G264" i="36"/>
  <c r="F264" i="36"/>
  <c r="G262" i="36"/>
  <c r="F262" i="36"/>
  <c r="G261" i="36"/>
  <c r="F261" i="36"/>
  <c r="F274" i="36" s="1"/>
  <c r="F577" i="36" s="1"/>
  <c r="H256" i="36"/>
  <c r="F256" i="36"/>
  <c r="F259" i="36" s="1"/>
  <c r="F576" i="36" s="1"/>
  <c r="H249" i="36"/>
  <c r="F249" i="36"/>
  <c r="E249" i="36"/>
  <c r="H248" i="36"/>
  <c r="E248" i="36"/>
  <c r="F248" i="36" s="1"/>
  <c r="H247" i="36"/>
  <c r="F247" i="36"/>
  <c r="H244" i="36"/>
  <c r="F244" i="36"/>
  <c r="H243" i="36"/>
  <c r="F243" i="36"/>
  <c r="H242" i="36"/>
  <c r="F242" i="36"/>
  <c r="H241" i="36"/>
  <c r="F241" i="36"/>
  <c r="F234" i="36"/>
  <c r="F233" i="36"/>
  <c r="F232" i="36"/>
  <c r="F226" i="36"/>
  <c r="F225" i="36"/>
  <c r="F224" i="36"/>
  <c r="F221" i="36"/>
  <c r="F220" i="36"/>
  <c r="F219" i="36"/>
  <c r="F216" i="36"/>
  <c r="F215" i="36"/>
  <c r="F214" i="36"/>
  <c r="F213" i="36"/>
  <c r="F210" i="36"/>
  <c r="F209" i="36"/>
  <c r="F208" i="36"/>
  <c r="F207" i="36"/>
  <c r="F204" i="36"/>
  <c r="C203" i="36"/>
  <c r="F203" i="36" s="1"/>
  <c r="C202" i="36"/>
  <c r="F202" i="36" s="1"/>
  <c r="F201" i="36"/>
  <c r="F198" i="36"/>
  <c r="F197" i="36"/>
  <c r="F194" i="36"/>
  <c r="F193" i="36"/>
  <c r="F190" i="36"/>
  <c r="F189" i="36"/>
  <c r="F186" i="36"/>
  <c r="F185" i="36"/>
  <c r="F182" i="36"/>
  <c r="F181" i="36"/>
  <c r="H173" i="36"/>
  <c r="E173" i="36"/>
  <c r="F173" i="36" s="1"/>
  <c r="H172" i="36"/>
  <c r="E172" i="36"/>
  <c r="F172" i="36" s="1"/>
  <c r="F171" i="36"/>
  <c r="H166" i="36"/>
  <c r="E166" i="36"/>
  <c r="F166" i="36" s="1"/>
  <c r="H165" i="36"/>
  <c r="E165" i="36"/>
  <c r="F165" i="36" s="1"/>
  <c r="H164" i="36"/>
  <c r="E164" i="36"/>
  <c r="F164" i="36" s="1"/>
  <c r="H163" i="36"/>
  <c r="F163" i="36"/>
  <c r="H159" i="36"/>
  <c r="E159" i="36"/>
  <c r="F159" i="36" s="1"/>
  <c r="H158" i="36"/>
  <c r="E158" i="36"/>
  <c r="F158" i="36" s="1"/>
  <c r="H157" i="36"/>
  <c r="E157" i="36"/>
  <c r="F157" i="36" s="1"/>
  <c r="H156" i="36"/>
  <c r="F156" i="36"/>
  <c r="H153" i="36"/>
  <c r="E153" i="36"/>
  <c r="F153" i="36" s="1"/>
  <c r="H152" i="36"/>
  <c r="F152" i="36"/>
  <c r="E152" i="36"/>
  <c r="H151" i="36"/>
  <c r="E151" i="36"/>
  <c r="F151" i="36" s="1"/>
  <c r="H150" i="36"/>
  <c r="E150" i="36"/>
  <c r="F150" i="36" s="1"/>
  <c r="H149" i="36"/>
  <c r="F149" i="36"/>
  <c r="H146" i="36"/>
  <c r="F146" i="36"/>
  <c r="H144" i="36"/>
  <c r="F144" i="36"/>
  <c r="H143" i="36"/>
  <c r="F143" i="36"/>
  <c r="F142" i="36"/>
  <c r="H141" i="36"/>
  <c r="F132" i="36"/>
  <c r="F131" i="36"/>
  <c r="F130" i="36"/>
  <c r="F129" i="36"/>
  <c r="F128" i="36"/>
  <c r="F125" i="36"/>
  <c r="F124" i="36"/>
  <c r="F122" i="36"/>
  <c r="F121" i="36"/>
  <c r="F120" i="36"/>
  <c r="F119" i="36"/>
  <c r="H117" i="36"/>
  <c r="F117" i="36"/>
  <c r="H116" i="36"/>
  <c r="F116" i="36"/>
  <c r="J115" i="36"/>
  <c r="H115" i="36"/>
  <c r="I115" i="36" s="1"/>
  <c r="K115" i="36" s="1"/>
  <c r="L115" i="36" s="1"/>
  <c r="F115" i="36"/>
  <c r="J114" i="36"/>
  <c r="H114" i="36"/>
  <c r="H119" i="36" s="1"/>
  <c r="F114" i="36"/>
  <c r="F109" i="36"/>
  <c r="F108" i="36"/>
  <c r="F107" i="36"/>
  <c r="F106" i="36"/>
  <c r="I101" i="36"/>
  <c r="F101" i="36"/>
  <c r="F100" i="36"/>
  <c r="I99" i="36"/>
  <c r="F99" i="36"/>
  <c r="H98" i="36"/>
  <c r="H96" i="36"/>
  <c r="F96" i="36"/>
  <c r="H95" i="36"/>
  <c r="F95" i="36"/>
  <c r="H94" i="36"/>
  <c r="F94" i="36"/>
  <c r="H93" i="36"/>
  <c r="F93" i="36"/>
  <c r="H88" i="36"/>
  <c r="F88" i="36"/>
  <c r="F79" i="36"/>
  <c r="F73" i="36"/>
  <c r="H71" i="36"/>
  <c r="F71" i="36"/>
  <c r="F62" i="36"/>
  <c r="H59" i="36"/>
  <c r="F59" i="36"/>
  <c r="F48" i="36"/>
  <c r="F46" i="36"/>
  <c r="F44" i="36"/>
  <c r="F42" i="36"/>
  <c r="F40" i="36"/>
  <c r="F38" i="36"/>
  <c r="F36" i="36"/>
  <c r="F34" i="36"/>
  <c r="F32" i="36"/>
  <c r="F30" i="36"/>
  <c r="F28" i="36"/>
  <c r="F22" i="36"/>
  <c r="F20" i="36"/>
  <c r="F18" i="36"/>
  <c r="F16" i="36"/>
  <c r="F14" i="36"/>
  <c r="F12" i="36"/>
  <c r="F10" i="36"/>
  <c r="F334" i="27"/>
  <c r="F269" i="27"/>
  <c r="F267" i="27"/>
  <c r="F266" i="27"/>
  <c r="F264" i="27"/>
  <c r="F263" i="27"/>
  <c r="F262" i="27"/>
  <c r="H140" i="27"/>
  <c r="I140" i="27" s="1"/>
  <c r="F82" i="36" l="1"/>
  <c r="F570" i="36" s="1"/>
  <c r="F254" i="36"/>
  <c r="F575" i="36" s="1"/>
  <c r="R335" i="36"/>
  <c r="F386" i="36"/>
  <c r="F582" i="36" s="1"/>
  <c r="F490" i="36"/>
  <c r="F503" i="36"/>
  <c r="F359" i="36"/>
  <c r="F580" i="36" s="1"/>
  <c r="F55" i="36"/>
  <c r="F606" i="36" s="1"/>
  <c r="F328" i="36"/>
  <c r="F579" i="36" s="1"/>
  <c r="F375" i="36"/>
  <c r="F581" i="36" s="1"/>
  <c r="F435" i="36"/>
  <c r="F584" i="36" s="1"/>
  <c r="F477" i="36"/>
  <c r="F515" i="36"/>
  <c r="F553" i="36" s="1"/>
  <c r="F586" i="36" s="1"/>
  <c r="F135" i="36"/>
  <c r="F571" i="36" s="1"/>
  <c r="F405" i="36"/>
  <c r="F583" i="36" s="1"/>
  <c r="F452" i="36"/>
  <c r="F585" i="36" s="1"/>
  <c r="F237" i="36"/>
  <c r="F574" i="36" s="1"/>
  <c r="R332" i="36"/>
  <c r="R334" i="36"/>
  <c r="F230" i="36"/>
  <c r="F573" i="36" s="1"/>
  <c r="F303" i="36"/>
  <c r="F578" i="36" s="1"/>
  <c r="F178" i="36"/>
  <c r="F572" i="36" s="1"/>
  <c r="I114" i="36"/>
  <c r="K114" i="36" s="1"/>
  <c r="L114" i="36" s="1"/>
  <c r="N331" i="36"/>
  <c r="P331" i="36" s="1"/>
  <c r="N332" i="36"/>
  <c r="P332" i="36" s="1"/>
  <c r="N333" i="36"/>
  <c r="P333" i="36" s="1"/>
  <c r="N334" i="36"/>
  <c r="P334" i="36" s="1"/>
  <c r="N335" i="36"/>
  <c r="P335" i="36" s="1"/>
  <c r="F55" i="27"/>
  <c r="F589" i="36" l="1"/>
  <c r="F608" i="36" s="1"/>
  <c r="F610" i="36" s="1"/>
  <c r="F618" i="36" s="1"/>
  <c r="F620" i="36"/>
  <c r="F622" i="36" s="1"/>
  <c r="M34" i="35"/>
  <c r="M38" i="35" s="1"/>
  <c r="L29" i="35"/>
  <c r="I72" i="15" l="1"/>
  <c r="D71" i="15"/>
  <c r="D72" i="15" s="1"/>
  <c r="K72" i="15" s="1"/>
  <c r="I71" i="15"/>
  <c r="D77" i="15" l="1"/>
  <c r="D75" i="15"/>
  <c r="D76" i="15"/>
  <c r="L21" i="33" l="1"/>
  <c r="B14" i="29" l="1"/>
  <c r="B12" i="29"/>
  <c r="B11" i="29"/>
  <c r="B10" i="29"/>
  <c r="B9" i="29"/>
  <c r="B8" i="29"/>
  <c r="B7" i="29"/>
  <c r="E336" i="27" l="1"/>
  <c r="F336" i="27" s="1"/>
  <c r="F339" i="27" s="1"/>
  <c r="F595" i="25"/>
  <c r="F597" i="25" s="1"/>
  <c r="F617" i="25" s="1"/>
  <c r="F559" i="25"/>
  <c r="F558" i="25"/>
  <c r="F557" i="25"/>
  <c r="F564" i="25" s="1"/>
  <c r="F588" i="25" s="1"/>
  <c r="F550" i="25"/>
  <c r="F547" i="25"/>
  <c r="F545" i="25"/>
  <c r="F543" i="25"/>
  <c r="F541" i="25"/>
  <c r="F539" i="25"/>
  <c r="F537" i="25"/>
  <c r="F533" i="25"/>
  <c r="F531" i="25"/>
  <c r="F529" i="25"/>
  <c r="F527" i="25"/>
  <c r="F523" i="25"/>
  <c r="F520" i="25"/>
  <c r="E518" i="25"/>
  <c r="F518" i="25" s="1"/>
  <c r="F515" i="25"/>
  <c r="F514" i="25"/>
  <c r="F513" i="25"/>
  <c r="F512" i="25"/>
  <c r="F511" i="25"/>
  <c r="F510" i="25"/>
  <c r="F509" i="25"/>
  <c r="F508" i="25"/>
  <c r="F507" i="25"/>
  <c r="F502" i="25"/>
  <c r="F501" i="25"/>
  <c r="F500" i="25"/>
  <c r="F499" i="25"/>
  <c r="F498" i="25"/>
  <c r="F497" i="25"/>
  <c r="F496" i="25"/>
  <c r="F495" i="25"/>
  <c r="F494" i="25"/>
  <c r="F489" i="25"/>
  <c r="F487" i="25"/>
  <c r="F486" i="25"/>
  <c r="F485" i="25"/>
  <c r="F484" i="25"/>
  <c r="F483" i="25"/>
  <c r="F482" i="25"/>
  <c r="F481" i="25"/>
  <c r="F476" i="25"/>
  <c r="F475" i="25"/>
  <c r="F474" i="25"/>
  <c r="F473" i="25"/>
  <c r="F472" i="25"/>
  <c r="F471" i="25"/>
  <c r="F470" i="25"/>
  <c r="F469" i="25"/>
  <c r="F468" i="25"/>
  <c r="F467" i="25"/>
  <c r="F466" i="25"/>
  <c r="F465" i="25"/>
  <c r="F464" i="25"/>
  <c r="F462" i="25"/>
  <c r="F449" i="25"/>
  <c r="F447" i="25"/>
  <c r="F445" i="25"/>
  <c r="F443" i="25"/>
  <c r="F441" i="25"/>
  <c r="F439" i="25"/>
  <c r="F431" i="25"/>
  <c r="F430" i="25"/>
  <c r="F428" i="25"/>
  <c r="H426" i="25"/>
  <c r="F426" i="25"/>
  <c r="H425" i="25"/>
  <c r="F425" i="25"/>
  <c r="I423" i="25"/>
  <c r="F423" i="25"/>
  <c r="I422" i="25"/>
  <c r="F422" i="25"/>
  <c r="I421" i="25"/>
  <c r="F421" i="25"/>
  <c r="F419" i="25"/>
  <c r="F418" i="25"/>
  <c r="F417" i="25"/>
  <c r="F416" i="25"/>
  <c r="F415" i="25"/>
  <c r="F410" i="25"/>
  <c r="F402" i="25"/>
  <c r="F400" i="25"/>
  <c r="F399" i="25"/>
  <c r="F398" i="25"/>
  <c r="F397" i="25"/>
  <c r="F396" i="25"/>
  <c r="F395" i="25"/>
  <c r="F394" i="25"/>
  <c r="F393" i="25"/>
  <c r="F392" i="25"/>
  <c r="F391" i="25"/>
  <c r="F390" i="25"/>
  <c r="F389" i="25"/>
  <c r="F384" i="25"/>
  <c r="H383" i="25"/>
  <c r="F383" i="25"/>
  <c r="H382" i="25"/>
  <c r="F382" i="25"/>
  <c r="H381" i="25"/>
  <c r="F381" i="25"/>
  <c r="H380" i="25"/>
  <c r="F380" i="25"/>
  <c r="H379" i="25"/>
  <c r="F379" i="25"/>
  <c r="H369" i="25"/>
  <c r="F369" i="25"/>
  <c r="J368" i="25"/>
  <c r="I368" i="25"/>
  <c r="F368" i="25"/>
  <c r="J367" i="25"/>
  <c r="I367" i="25"/>
  <c r="F367" i="25"/>
  <c r="J366" i="25"/>
  <c r="I366" i="25"/>
  <c r="F366" i="25"/>
  <c r="I365" i="25"/>
  <c r="H365" i="25"/>
  <c r="F365" i="25"/>
  <c r="F364" i="25"/>
  <c r="E356" i="25"/>
  <c r="F356" i="25" s="1"/>
  <c r="E355" i="25"/>
  <c r="F355" i="25" s="1"/>
  <c r="E354" i="25"/>
  <c r="F354" i="25" s="1"/>
  <c r="E353" i="25"/>
  <c r="F353" i="25" s="1"/>
  <c r="F352" i="25"/>
  <c r="F349" i="25"/>
  <c r="E349" i="25"/>
  <c r="E348" i="25"/>
  <c r="F348" i="25" s="1"/>
  <c r="E347" i="25"/>
  <c r="F347" i="25" s="1"/>
  <c r="F346" i="25"/>
  <c r="E343" i="25"/>
  <c r="F343" i="25" s="1"/>
  <c r="E342" i="25"/>
  <c r="F342" i="25" s="1"/>
  <c r="E341" i="25"/>
  <c r="F341" i="25" s="1"/>
  <c r="E340" i="25"/>
  <c r="F340" i="25" s="1"/>
  <c r="F339" i="25"/>
  <c r="R336" i="25"/>
  <c r="M336" i="25"/>
  <c r="L336" i="25"/>
  <c r="K336" i="25"/>
  <c r="E336" i="25"/>
  <c r="F336" i="25" s="1"/>
  <c r="M335" i="25"/>
  <c r="L335" i="25"/>
  <c r="K335" i="25"/>
  <c r="N335" i="25" s="1"/>
  <c r="E335" i="25"/>
  <c r="F335" i="25" s="1"/>
  <c r="M334" i="25"/>
  <c r="L334" i="25"/>
  <c r="K334" i="25"/>
  <c r="E334" i="25"/>
  <c r="F334" i="25" s="1"/>
  <c r="M333" i="25"/>
  <c r="L333" i="25"/>
  <c r="K333" i="25"/>
  <c r="N333" i="25" s="1"/>
  <c r="E333" i="25"/>
  <c r="F333" i="25" s="1"/>
  <c r="M332" i="25"/>
  <c r="L332" i="25"/>
  <c r="K332" i="25"/>
  <c r="F332" i="25"/>
  <c r="F325" i="25"/>
  <c r="F324" i="25"/>
  <c r="F323" i="25"/>
  <c r="H321" i="25"/>
  <c r="F321" i="25"/>
  <c r="E321" i="25"/>
  <c r="H320" i="25"/>
  <c r="E320" i="25"/>
  <c r="F320" i="25" s="1"/>
  <c r="H319" i="25"/>
  <c r="F319" i="25"/>
  <c r="F314" i="25"/>
  <c r="H312" i="25"/>
  <c r="E312" i="25"/>
  <c r="F312" i="25" s="1"/>
  <c r="H311" i="25"/>
  <c r="F311" i="25"/>
  <c r="H299" i="25"/>
  <c r="E299" i="25"/>
  <c r="F299" i="25" s="1"/>
  <c r="H298" i="25"/>
  <c r="E298" i="25"/>
  <c r="F298" i="25" s="1"/>
  <c r="H297" i="25"/>
  <c r="E297" i="25"/>
  <c r="F297" i="25" s="1"/>
  <c r="H296" i="25"/>
  <c r="F296" i="25"/>
  <c r="F293" i="25"/>
  <c r="H291" i="25"/>
  <c r="E291" i="25"/>
  <c r="F291" i="25" s="1"/>
  <c r="H290" i="25"/>
  <c r="E290" i="25"/>
  <c r="F290" i="25" s="1"/>
  <c r="H289" i="25"/>
  <c r="E289" i="25"/>
  <c r="F289" i="25" s="1"/>
  <c r="H288" i="25"/>
  <c r="E288" i="25"/>
  <c r="F288" i="25" s="1"/>
  <c r="H287" i="25"/>
  <c r="F287" i="25"/>
  <c r="J286" i="25"/>
  <c r="F285" i="25"/>
  <c r="H283" i="25"/>
  <c r="E283" i="25"/>
  <c r="F283" i="25" s="1"/>
  <c r="H282" i="25"/>
  <c r="E282" i="25"/>
  <c r="F282" i="25" s="1"/>
  <c r="H281" i="25"/>
  <c r="E281" i="25"/>
  <c r="F281" i="25" s="1"/>
  <c r="H280" i="25"/>
  <c r="F280" i="25"/>
  <c r="E280" i="25"/>
  <c r="H279" i="25"/>
  <c r="F279" i="25"/>
  <c r="H277" i="25"/>
  <c r="F277" i="25"/>
  <c r="F270" i="25"/>
  <c r="F266" i="25"/>
  <c r="G265" i="25"/>
  <c r="F265" i="25"/>
  <c r="G263" i="25"/>
  <c r="F263" i="25"/>
  <c r="G262" i="25"/>
  <c r="F262" i="25"/>
  <c r="H257" i="25"/>
  <c r="F257" i="25"/>
  <c r="F260" i="25" s="1"/>
  <c r="F577" i="25" s="1"/>
  <c r="H250" i="25"/>
  <c r="F250" i="25"/>
  <c r="E250" i="25"/>
  <c r="H249" i="25"/>
  <c r="E249" i="25"/>
  <c r="F249" i="25" s="1"/>
  <c r="H248" i="25"/>
  <c r="F248" i="25"/>
  <c r="H245" i="25"/>
  <c r="F245" i="25"/>
  <c r="H244" i="25"/>
  <c r="F244" i="25"/>
  <c r="H243" i="25"/>
  <c r="F243" i="25"/>
  <c r="H242" i="25"/>
  <c r="F242" i="25"/>
  <c r="F235" i="25"/>
  <c r="F238" i="25" s="1"/>
  <c r="F575" i="25" s="1"/>
  <c r="F234" i="25"/>
  <c r="F233" i="25"/>
  <c r="F227" i="25"/>
  <c r="F226" i="25"/>
  <c r="F225" i="25"/>
  <c r="F222" i="25"/>
  <c r="F221" i="25"/>
  <c r="F220" i="25"/>
  <c r="F217" i="25"/>
  <c r="F216" i="25"/>
  <c r="F215" i="25"/>
  <c r="F214" i="25"/>
  <c r="F211" i="25"/>
  <c r="F210" i="25"/>
  <c r="F209" i="25"/>
  <c r="F208" i="25"/>
  <c r="F205" i="25"/>
  <c r="F204" i="25"/>
  <c r="F203" i="25"/>
  <c r="F202" i="25"/>
  <c r="F199" i="25"/>
  <c r="F198" i="25"/>
  <c r="F195" i="25"/>
  <c r="F194" i="25"/>
  <c r="F191" i="25"/>
  <c r="F190" i="25"/>
  <c r="F187" i="25"/>
  <c r="F186" i="25"/>
  <c r="F183" i="25"/>
  <c r="F182" i="25"/>
  <c r="H174" i="25"/>
  <c r="E174" i="25"/>
  <c r="F174" i="25" s="1"/>
  <c r="H173" i="25"/>
  <c r="E173" i="25"/>
  <c r="F173" i="25" s="1"/>
  <c r="F172" i="25"/>
  <c r="H167" i="25"/>
  <c r="E167" i="25"/>
  <c r="F167" i="25" s="1"/>
  <c r="H166" i="25"/>
  <c r="E166" i="25"/>
  <c r="F166" i="25" s="1"/>
  <c r="H165" i="25"/>
  <c r="E165" i="25"/>
  <c r="F165" i="25" s="1"/>
  <c r="H164" i="25"/>
  <c r="F164" i="25"/>
  <c r="H160" i="25"/>
  <c r="F160" i="25"/>
  <c r="E160" i="25"/>
  <c r="H159" i="25"/>
  <c r="E159" i="25"/>
  <c r="F159" i="25" s="1"/>
  <c r="H158" i="25"/>
  <c r="E158" i="25"/>
  <c r="F158" i="25" s="1"/>
  <c r="H157" i="25"/>
  <c r="F157" i="25"/>
  <c r="H154" i="25"/>
  <c r="E154" i="25"/>
  <c r="F154" i="25" s="1"/>
  <c r="H153" i="25"/>
  <c r="E153" i="25"/>
  <c r="F153" i="25" s="1"/>
  <c r="H152" i="25"/>
  <c r="E152" i="25"/>
  <c r="F152" i="25" s="1"/>
  <c r="H151" i="25"/>
  <c r="F151" i="25"/>
  <c r="E151" i="25"/>
  <c r="H150" i="25"/>
  <c r="F150" i="25"/>
  <c r="H147" i="25"/>
  <c r="F147" i="25"/>
  <c r="H145" i="25"/>
  <c r="F145" i="25"/>
  <c r="H144" i="25"/>
  <c r="F144" i="25"/>
  <c r="F143" i="25"/>
  <c r="H142" i="25"/>
  <c r="F133" i="25"/>
  <c r="F132" i="25"/>
  <c r="F131" i="25"/>
  <c r="F130" i="25"/>
  <c r="F129" i="25"/>
  <c r="F126" i="25"/>
  <c r="F125" i="25"/>
  <c r="F123" i="25"/>
  <c r="F122" i="25"/>
  <c r="F121" i="25"/>
  <c r="F120" i="25"/>
  <c r="H118" i="25"/>
  <c r="F118" i="25"/>
  <c r="H117" i="25"/>
  <c r="F117" i="25"/>
  <c r="J116" i="25"/>
  <c r="H116" i="25"/>
  <c r="I116" i="25" s="1"/>
  <c r="K116" i="25" s="1"/>
  <c r="L116" i="25" s="1"/>
  <c r="F116" i="25"/>
  <c r="J115" i="25"/>
  <c r="H115" i="25"/>
  <c r="I115" i="25" s="1"/>
  <c r="K115" i="25" s="1"/>
  <c r="L115" i="25" s="1"/>
  <c r="F115" i="25"/>
  <c r="F110" i="25"/>
  <c r="F109" i="25"/>
  <c r="F108" i="25"/>
  <c r="F107" i="25"/>
  <c r="F103" i="25"/>
  <c r="I102" i="25"/>
  <c r="F102" i="25"/>
  <c r="F101" i="25"/>
  <c r="I100" i="25"/>
  <c r="F100" i="25"/>
  <c r="H99" i="25"/>
  <c r="F97" i="25"/>
  <c r="H96" i="25"/>
  <c r="F96" i="25"/>
  <c r="H95" i="25"/>
  <c r="F95" i="25"/>
  <c r="H94" i="25"/>
  <c r="F94" i="25"/>
  <c r="H93" i="25"/>
  <c r="F93" i="25"/>
  <c r="H88" i="25"/>
  <c r="F88" i="25"/>
  <c r="F79" i="25"/>
  <c r="F73" i="25"/>
  <c r="H71" i="25"/>
  <c r="F71" i="25"/>
  <c r="F62" i="25"/>
  <c r="H59" i="25"/>
  <c r="F59" i="25"/>
  <c r="F48" i="25"/>
  <c r="F46" i="25"/>
  <c r="F44" i="25"/>
  <c r="F42" i="25"/>
  <c r="F40" i="25"/>
  <c r="F38" i="25"/>
  <c r="F36" i="25"/>
  <c r="F34" i="25"/>
  <c r="F32" i="25"/>
  <c r="F30" i="25"/>
  <c r="F28" i="25"/>
  <c r="F22" i="25"/>
  <c r="F20" i="25"/>
  <c r="F18" i="25"/>
  <c r="F16" i="25"/>
  <c r="F14" i="25"/>
  <c r="F12" i="25"/>
  <c r="F10" i="25"/>
  <c r="F55" i="25" s="1"/>
  <c r="F607" i="25" s="1"/>
  <c r="K8" i="25"/>
  <c r="M13" i="25" s="1"/>
  <c r="F51" i="18"/>
  <c r="F50" i="18"/>
  <c r="F49" i="18"/>
  <c r="F46" i="18"/>
  <c r="F45" i="18"/>
  <c r="F44" i="18"/>
  <c r="F41" i="18"/>
  <c r="F40" i="18"/>
  <c r="F39" i="18"/>
  <c r="F38" i="18"/>
  <c r="F35" i="18"/>
  <c r="F34" i="18"/>
  <c r="F33" i="18"/>
  <c r="F32" i="18"/>
  <c r="F29" i="18"/>
  <c r="F28" i="18"/>
  <c r="F27" i="18"/>
  <c r="F26" i="18"/>
  <c r="F23" i="18"/>
  <c r="F22" i="18"/>
  <c r="F19" i="18"/>
  <c r="F18" i="18"/>
  <c r="F15" i="18"/>
  <c r="F14" i="18"/>
  <c r="F11" i="18"/>
  <c r="F10" i="18"/>
  <c r="F7" i="18"/>
  <c r="F6" i="18"/>
  <c r="F82" i="25" l="1"/>
  <c r="F571" i="25" s="1"/>
  <c r="F231" i="25"/>
  <c r="F574" i="25" s="1"/>
  <c r="F387" i="25"/>
  <c r="F583" i="25" s="1"/>
  <c r="F516" i="25"/>
  <c r="F554" i="25" s="1"/>
  <c r="F587" i="25" s="1"/>
  <c r="F136" i="25"/>
  <c r="F572" i="25" s="1"/>
  <c r="F275" i="25"/>
  <c r="F578" i="25" s="1"/>
  <c r="F376" i="25"/>
  <c r="F582" i="25" s="1"/>
  <c r="F478" i="25"/>
  <c r="F504" i="25"/>
  <c r="F436" i="25"/>
  <c r="F585" i="25" s="1"/>
  <c r="F453" i="25"/>
  <c r="F586" i="25" s="1"/>
  <c r="F491" i="25"/>
  <c r="F329" i="25"/>
  <c r="F580" i="25" s="1"/>
  <c r="N332" i="25"/>
  <c r="N334" i="25"/>
  <c r="N336" i="25"/>
  <c r="P336" i="25" s="1"/>
  <c r="F406" i="25"/>
  <c r="F584" i="25" s="1"/>
  <c r="H336" i="27"/>
  <c r="P333" i="25"/>
  <c r="F179" i="25"/>
  <c r="F573" i="25" s="1"/>
  <c r="F590" i="25" s="1"/>
  <c r="F609" i="25" s="1"/>
  <c r="F611" i="25" s="1"/>
  <c r="F619" i="25" s="1"/>
  <c r="F304" i="25"/>
  <c r="F579" i="25" s="1"/>
  <c r="P332" i="25"/>
  <c r="P334" i="25"/>
  <c r="P335" i="25"/>
  <c r="F255" i="25"/>
  <c r="F576" i="25" s="1"/>
  <c r="F360" i="25"/>
  <c r="F581" i="25" s="1"/>
  <c r="R333" i="25"/>
  <c r="L9" i="25"/>
  <c r="M14" i="25"/>
  <c r="H120" i="25"/>
  <c r="L11" i="25"/>
  <c r="R334" i="25"/>
  <c r="R335" i="25"/>
  <c r="R332" i="25"/>
  <c r="L10" i="25"/>
  <c r="F55" i="18"/>
  <c r="F621" i="25" l="1"/>
  <c r="F623" i="25" s="1"/>
  <c r="M11" i="25"/>
  <c r="C7" i="38" l="1"/>
  <c r="F7" i="38" s="1"/>
  <c r="C14" i="38"/>
  <c r="F14" i="38" s="1"/>
  <c r="F36" i="38" l="1"/>
  <c r="C11" i="38"/>
  <c r="F11" i="38" s="1"/>
  <c r="E33" i="35"/>
  <c r="G33" i="35" s="1"/>
  <c r="E32" i="35"/>
  <c r="C9" i="38"/>
  <c r="F9" i="38" s="1"/>
  <c r="E34" i="35" l="1"/>
  <c r="G34" i="35" s="1"/>
  <c r="G32" i="35"/>
  <c r="F72" i="38"/>
  <c r="H239" i="38" l="1"/>
  <c r="G36" i="35"/>
  <c r="H36" i="35" s="1"/>
  <c r="H236" i="38" l="1"/>
  <c r="H65" i="19" l="1"/>
  <c r="Q47" i="30" l="1"/>
  <c r="Q48" i="30"/>
  <c r="C29" i="29"/>
  <c r="E17" i="29" l="1"/>
  <c r="E13" i="29"/>
  <c r="E8" i="29"/>
  <c r="E9" i="29"/>
  <c r="E15" i="29"/>
  <c r="E10" i="29"/>
  <c r="E12" i="29"/>
  <c r="E16" i="29"/>
  <c r="E11" i="29"/>
  <c r="E18" i="29"/>
  <c r="E7" i="29"/>
  <c r="E14" i="29"/>
  <c r="C7" i="32"/>
  <c r="C9" i="32" s="1"/>
  <c r="C13" i="32" l="1"/>
  <c r="C73" i="32" s="1"/>
  <c r="C60" i="32"/>
  <c r="C17" i="32" l="1"/>
  <c r="C21" i="32" s="1"/>
  <c r="C25" i="3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HB User</author>
  </authors>
  <commentList>
    <comment ref="F71" authorId="0" shapeId="0" xr:uid="{22131CB7-555B-47A2-A593-711465D8103D}">
      <text>
        <r>
          <rPr>
            <b/>
            <sz val="9"/>
            <color indexed="81"/>
            <rFont val="Tahoma"/>
            <family val="2"/>
          </rPr>
          <t>HB User:</t>
        </r>
        <r>
          <rPr>
            <sz val="9"/>
            <color indexed="81"/>
            <rFont val="Tahoma"/>
            <family val="2"/>
          </rPr>
          <t xml:space="preserve">
Supreme Ready G.30 Rs.
</t>
        </r>
      </text>
    </comment>
  </commentList>
</comments>
</file>

<file path=xl/sharedStrings.xml><?xml version="1.0" encoding="utf-8"?>
<sst xmlns="http://schemas.openxmlformats.org/spreadsheetml/2006/main" count="8027" uniqueCount="2785">
  <si>
    <t>Nos</t>
  </si>
  <si>
    <t>Description</t>
  </si>
  <si>
    <t>Qty</t>
  </si>
  <si>
    <t>Unit</t>
  </si>
  <si>
    <t>Rate</t>
  </si>
  <si>
    <t>Amount</t>
  </si>
  <si>
    <t>BILL NO. 01</t>
  </si>
  <si>
    <t>1/PR</t>
  </si>
  <si>
    <t>PRELIMINARIES</t>
  </si>
  <si>
    <t>Please refer Specifications &amp; Priceing reambles</t>
  </si>
  <si>
    <t>This Bill Provides for the typical general items complimentary to the works wich are required to be provided by the Contractor in compliance with the Conditions of Contract and Contract Data in the execution of the works according to the Contract.</t>
  </si>
  <si>
    <t>1/PR.1</t>
  </si>
  <si>
    <t>Allow lump sum for providing Securtiy Bonds and Guarantees.</t>
  </si>
  <si>
    <t>Item</t>
  </si>
  <si>
    <t>1/PR.2</t>
  </si>
  <si>
    <t>Allow lump sum for mobilization to site</t>
  </si>
  <si>
    <t>1/PR.3</t>
  </si>
  <si>
    <t>Allow lump sum for insurance of works, plant &amp; machinery,materials, third pary and workmen (All the insurances should be submitted for the end of defect liability period.)</t>
  </si>
  <si>
    <t>1/PR.4</t>
  </si>
  <si>
    <t>Provide lump sum to construct, maintain and removal at end of contract temporary buildings for protection &amp; storage of materials &amp; plant and for workshops.</t>
  </si>
  <si>
    <t>1/PR.5</t>
  </si>
  <si>
    <t>1/PR.6</t>
  </si>
  <si>
    <t>Allow for providing safety, Health and sanitary facilities for Contractor's Staff.</t>
  </si>
  <si>
    <t>1/PR.7</t>
  </si>
  <si>
    <t>1/PR.8</t>
  </si>
  <si>
    <t>Allow for supplying temperory electricity for the work including connections, distribution system for the work internal arrangements and for all payments to the authorities for consumption during construction.</t>
  </si>
  <si>
    <t>By Owner</t>
  </si>
  <si>
    <t>1/PR.9</t>
  </si>
  <si>
    <t>Allow for supplying water for use during the construction including supplying, storing internal arrangements and payment to local authorities for consumption.</t>
  </si>
  <si>
    <t>1/PR.10</t>
  </si>
  <si>
    <t>1/PR.11</t>
  </si>
  <si>
    <t>1/PR.12</t>
  </si>
  <si>
    <t>1/PR.13</t>
  </si>
  <si>
    <t>1/PR.14</t>
  </si>
  <si>
    <t>1/PR.16</t>
  </si>
  <si>
    <t>1/PR.17</t>
  </si>
  <si>
    <t>Allow lum sum for obtaining all necessary approvals from local authorities for proper execution and completion of works.</t>
  </si>
  <si>
    <t>1/PR.18</t>
  </si>
  <si>
    <t>Allow lump sum for obtaining test reports including lab reports for structural works and Chartered electrical Engineer's cerfificate for Electrical installation works.</t>
  </si>
  <si>
    <t>1/PR.19</t>
  </si>
  <si>
    <t xml:space="preserve">Allow lump sum for providing approved samples at site. </t>
  </si>
  <si>
    <t>1/PR.20</t>
  </si>
  <si>
    <t>1/PR.21</t>
  </si>
  <si>
    <t>Allow lump sum for providing progress charts, Construction Programs, Progrress photos (minimum 5 photos every month) bar schedules, shop/working drawings etc.</t>
  </si>
  <si>
    <t>Allow lump sum for providing three(03) copies of " As Built" drawing with Operation manual.</t>
  </si>
  <si>
    <t>TOTAL CARRIED TO GRAND SUMMARY</t>
  </si>
  <si>
    <t>TOTAL CARRIED TO COLLECTION</t>
  </si>
  <si>
    <t>SUPER STRUCTURE</t>
  </si>
  <si>
    <t>In column shaft from ground floor level to First floor level</t>
  </si>
  <si>
    <t>In column shaft from  First floor level to Second floor level</t>
  </si>
  <si>
    <t>In Reinforced beam at First floor level</t>
  </si>
  <si>
    <t>In Reinforced beam at second floor level</t>
  </si>
  <si>
    <t>In Reinforced slab at First floor level</t>
  </si>
  <si>
    <t>In Reinforced Slab at second floor level</t>
  </si>
  <si>
    <t>In staircase from ground floor level to First floor level</t>
  </si>
  <si>
    <t>In staircase from  First floor level to Second floor level</t>
  </si>
  <si>
    <t>m</t>
  </si>
  <si>
    <t>Ground floor</t>
  </si>
  <si>
    <t>First floor</t>
  </si>
  <si>
    <t>Second floor</t>
  </si>
  <si>
    <t>METAL WORK</t>
  </si>
  <si>
    <t>In Ground floor</t>
  </si>
  <si>
    <t>In First floor</t>
  </si>
  <si>
    <t>In Second floor</t>
  </si>
  <si>
    <t>Type of Cables - Kelani or ACL</t>
  </si>
  <si>
    <t>Socket outlets - Orange / Kalani or equlant</t>
  </si>
  <si>
    <t xml:space="preserve">Breaker's - European Brand </t>
  </si>
  <si>
    <t>European brand Digital meter</t>
  </si>
  <si>
    <t>60K SPDS protection system</t>
  </si>
  <si>
    <t>Earth Fault and Phase Fult Protection</t>
  </si>
  <si>
    <t>07 Sets (R,Y,B) LED type phase indicators for Each floor and Lift room.</t>
  </si>
  <si>
    <t>01 Set (R,Y,B) LED type phase indicators with fuses.</t>
  </si>
  <si>
    <t xml:space="preserve">Point wiring for socket outlets 15A - ( 16A Circuits) </t>
  </si>
  <si>
    <t>Supply , Installation &amp; wiring of 15A power Socket Outlet, by using 2X1C 2.5mm^2 Cu /PVC /PVC Cable + 1C2.5 mm^2 Cu/PVC Earth Cable (in radial circuit) through the ceiling ,  wall / partition up to the point including  PVC trucking , outlet and other accessories up to the point.</t>
  </si>
  <si>
    <t>Point wiring for socket outlets 13A - ( 16A Circuits)</t>
  </si>
  <si>
    <t>Supply , Installation &amp; wiring of power Socket Outlet, by using 2X1C 1.5 mm^2 Cu /PVC /PVC Cable + 1C 1.5 mm^2 Cu/PVC Earth Cable (in radial circuit) through the ceiling ,  wall / partition up to the point  including  PVC trucking , outlet and other accessories up to the point.</t>
  </si>
  <si>
    <t xml:space="preserve">Light Point Wiring </t>
  </si>
  <si>
    <t xml:space="preserve">Cu/PVC Earth Cable through the slab &amp; ceiling including PVC conduit, 10A PVC Switch, and other accessories </t>
  </si>
  <si>
    <t>Nr</t>
  </si>
  <si>
    <t>No</t>
  </si>
  <si>
    <t>COLLECTION BILL NO.02 - MAIN BUILDING</t>
  </si>
  <si>
    <t>EXCAVATION &amp; EARTH WORK</t>
  </si>
  <si>
    <t>3A</t>
  </si>
  <si>
    <t>Rs.</t>
  </si>
  <si>
    <t>Allow for turfing &amp; Landscaping work</t>
  </si>
  <si>
    <t>GRAND SUMMARY</t>
  </si>
  <si>
    <t>Bill No.</t>
  </si>
  <si>
    <t>Bill no. 01</t>
  </si>
  <si>
    <t>Bill no. 02</t>
  </si>
  <si>
    <t>MAIN BUILDING</t>
  </si>
  <si>
    <t>SUB TOTAL 01</t>
  </si>
  <si>
    <t>Less : Discount (If any)</t>
  </si>
  <si>
    <t>SUB TOTAL 02</t>
  </si>
  <si>
    <t>Bill no. 05</t>
  </si>
  <si>
    <t>PROVISIONAL SUM</t>
  </si>
  <si>
    <t>SUB TOTAL 03</t>
  </si>
  <si>
    <t>ADD 10% CONTINGENCIES</t>
  </si>
  <si>
    <t>GRAND TOTAL</t>
  </si>
  <si>
    <t>In column shaft</t>
  </si>
  <si>
    <t>In Tie  Beams</t>
  </si>
  <si>
    <t>In staircases</t>
  </si>
  <si>
    <t>Lm</t>
  </si>
  <si>
    <t>steps at ground floor entrance area</t>
  </si>
  <si>
    <t>Telephone socket wiring</t>
  </si>
  <si>
    <t>Data socket wiring .</t>
  </si>
  <si>
    <t>PRPOVISIONAL SUMS - BILL NO . 03</t>
  </si>
  <si>
    <t xml:space="preserve">Earthing System </t>
  </si>
  <si>
    <t>0.47mm thick Zink aluminum valance &amp; barge board</t>
  </si>
  <si>
    <t>In column footing</t>
  </si>
  <si>
    <t>In column shaft from  Second floor level to Lift machinary level</t>
  </si>
  <si>
    <t>In column shaft from  Lift machinary level to water tank level</t>
  </si>
  <si>
    <t>In Reinforced beam at roof &amp; lift machinary level</t>
  </si>
  <si>
    <t>In Reinforced beam at water tank level</t>
  </si>
  <si>
    <t>Ramp at rentrance</t>
  </si>
  <si>
    <t>In Reinforced slab at lift machinary level</t>
  </si>
  <si>
    <t>In Reinforced Slab at water tank level</t>
  </si>
  <si>
    <t>Lift machine area</t>
  </si>
  <si>
    <t>Water tank area</t>
  </si>
  <si>
    <t>12mm Tempered Door (D1) -Size 1800 x 2700mm tempered glazed door with 3'-0" long 2" x 2" class 1 timber handle,  sand blast sticker film and all neccessary  branded fittings ( high quality door lock, hinges, , door stoppers  etc…)and top panel as per the Architect detail.</t>
  </si>
  <si>
    <t>Supply &amp; fix 450mmm high GI steel hand railing with extras according to architect direction for terrace area. Rate shall include for finishing work to accoding to the detail</t>
  </si>
  <si>
    <t>Supply &amp; fix staircase hand railing with extras according to architect direction for staircases. Rate shall include for finishing work to accoding to the detail</t>
  </si>
  <si>
    <t>Supply &amp; fix 1000mmm high GI steel hand railing with extras according to architect direction for balcony area. Rate shall include for finishing work to accoding to the detail</t>
  </si>
  <si>
    <t xml:space="preserve">Supply and instalation of 0.47mm thick Zn/Al  roof with "H" iron frame work &amp; other extras as per architects directions. </t>
  </si>
  <si>
    <t xml:space="preserve">Supply and instalation of 4mm thick clear solid polycorbonate  roof with "H" iron &amp; 50 x 50x 1.2mm box bar frame work &amp; other extras as per architects directions. </t>
  </si>
  <si>
    <t>Tank area</t>
  </si>
  <si>
    <t>Point wiring for socket outlets 5A - ( 6A Circuits)</t>
  </si>
  <si>
    <t>PROPSED THREE STORY LIBREARY BUILDING FOR MINUWANGODA URBAN COUNCIL MINUWANGODA.</t>
  </si>
  <si>
    <t>B</t>
  </si>
  <si>
    <t>Site preparation, Clearing site vegetation, removing bushes, shrubs &amp; top soil to a depth not exceeding 6" and removing all debris away from site.</t>
  </si>
  <si>
    <t>Sqr.</t>
  </si>
  <si>
    <t xml:space="preserve">Manual Excavation for column, wall, staircase foundations in any material (except rock requiring blasting) up to 5'-0" depth, part return fill in and ram and surplus depositted within site as directed.                                                                                                           </t>
  </si>
  <si>
    <t>Cube</t>
  </si>
  <si>
    <t>Shuttering for columns including dismantling in 15mm thick  Plywood board.</t>
  </si>
  <si>
    <r>
      <t xml:space="preserve">Mild steel reinforcement to slabs, beams, lintols, columns, footings &amp; etc.. bent to shape, laid in position and tied with         </t>
    </r>
    <r>
      <rPr>
        <sz val="11"/>
        <color indexed="10"/>
        <rFont val="Times New Roman"/>
        <family val="1"/>
      </rPr>
      <t>16 B.W.G.</t>
    </r>
    <r>
      <rPr>
        <sz val="11"/>
        <rFont val="Times New Roman"/>
        <family val="1"/>
      </rPr>
      <t xml:space="preserve"> Aneal binding wire in Ground floor .</t>
    </r>
  </si>
  <si>
    <t>Kg</t>
  </si>
  <si>
    <r>
      <t xml:space="preserve">Tor steel reinforcement to slabs, beams, lintols, columns, footings &amp; etc.. bent to shape, laid in position and tied with         </t>
    </r>
    <r>
      <rPr>
        <sz val="11"/>
        <color indexed="10"/>
        <rFont val="Times New Roman"/>
        <family val="1"/>
      </rPr>
      <t>16 B.W.G</t>
    </r>
    <r>
      <rPr>
        <sz val="11"/>
        <rFont val="Times New Roman"/>
        <family val="1"/>
      </rPr>
      <t>. Aneal binding wire in Ground floor.</t>
    </r>
  </si>
  <si>
    <t>B - EXCAVATION &amp; EARTH WORK</t>
  </si>
  <si>
    <t>Excavation</t>
  </si>
  <si>
    <t>B 01</t>
  </si>
  <si>
    <t xml:space="preserve">Shoring, dewatering and rock blasting if  necessary for the excavation, shall be paid for separately for item B04 - B06                                </t>
  </si>
  <si>
    <t>B 04</t>
  </si>
  <si>
    <t>Sq.ft.</t>
  </si>
  <si>
    <t>Filling &amp; Compaction</t>
  </si>
  <si>
    <t>Note:-</t>
  </si>
  <si>
    <t>Approved earth shall mean filling materials that comply to the following :</t>
  </si>
  <si>
    <t>( a )</t>
  </si>
  <si>
    <t>The earth shall be free of vegetation, roots, boulders, easily decomposable materials, chemicals, industrial waste, plastic etc.</t>
  </si>
  <si>
    <t>( b )</t>
  </si>
  <si>
    <t>The maximum size of particle shall not exceed 75mm.</t>
  </si>
  <si>
    <t>( c )</t>
  </si>
  <si>
    <t>The earth shall be well graded and the silt and clay (fines) content shall not be more than 25%</t>
  </si>
  <si>
    <t>( d )</t>
  </si>
  <si>
    <r>
      <t>The Standerd proctor density shall be grater than 1.70g/cm</t>
    </r>
    <r>
      <rPr>
        <b/>
        <vertAlign val="superscript"/>
        <sz val="11"/>
        <rFont val="Times New Roman"/>
        <family val="1"/>
      </rPr>
      <t>3</t>
    </r>
  </si>
  <si>
    <t>1 km</t>
  </si>
  <si>
    <t>Test</t>
  </si>
  <si>
    <t>Conducting a proctor density check on sample fill matearial.</t>
  </si>
  <si>
    <t>Per Test</t>
  </si>
  <si>
    <t>Field density testing of the compacted earth fill using Sand cone method.</t>
  </si>
  <si>
    <t>Antitermite -Tretement</t>
  </si>
  <si>
    <t xml:space="preserve">Antitermite-treatement for the new construction with applying Biflexthrine 10Tc (Biflex ) or approved equivelant , Dialuted chemicals 1:200 ratio with water after supplying the sealed bottle with lables to the site and should be followed the manufacture standards of application including horizontal &amp; vertical barriers. It should be 10 years warranty on application.  </t>
  </si>
  <si>
    <t xml:space="preserve">  C  -  CONCRETE</t>
  </si>
  <si>
    <t xml:space="preserve">Note: </t>
  </si>
  <si>
    <t xml:space="preserve">The Quality of the concrete should  confirm to the relevant B.S., S.L.S. and ICTAD  specification for Building works. </t>
  </si>
  <si>
    <t>IN - SITU PLAIN CONCRETE</t>
  </si>
  <si>
    <t>C 02</t>
  </si>
  <si>
    <t>C 04</t>
  </si>
  <si>
    <t>IN - SITU REINFORCED CONCRETE</t>
  </si>
  <si>
    <t>L.ft.</t>
  </si>
  <si>
    <t>Nr.</t>
  </si>
  <si>
    <t xml:space="preserve"> READY MIX CONCRETE</t>
  </si>
  <si>
    <t>Cu.m</t>
  </si>
  <si>
    <r>
      <t>Transport charges per Km per m</t>
    </r>
    <r>
      <rPr>
        <vertAlign val="superscript"/>
        <sz val="11"/>
        <rFont val="Times New Roman"/>
        <family val="1"/>
      </rPr>
      <t xml:space="preserve">3 </t>
    </r>
    <r>
      <rPr>
        <sz val="11"/>
        <rFont val="Times New Roman"/>
        <family val="1"/>
      </rPr>
      <t>for over and above 20 km.</t>
    </r>
  </si>
  <si>
    <t>Km</t>
  </si>
  <si>
    <t>Placing , levelling , vibrating the concrete.</t>
  </si>
  <si>
    <t>D  -  FORM WORK</t>
  </si>
  <si>
    <t>Note:</t>
  </si>
  <si>
    <t>(a)</t>
  </si>
  <si>
    <t>The rates given for  items D 02, D 03 to D 08 herein are applicable for plywood sheets of 15 mm thick. Hence  the  rate is valid only if the shuttering / formwork for footing , column ,  beams , lintel, walls, slabs are of 15 mm thick ply boards.</t>
  </si>
  <si>
    <t>(b)</t>
  </si>
  <si>
    <t>Any deviation from the specified materials, specified thickness and the arrangement of formwork given in this document should require the written approval of the Divisional Engineer. Rate for  such deviation from   the item description will be decided by the D(B/SW)</t>
  </si>
  <si>
    <t>(c)</t>
  </si>
  <si>
    <t>For ordinary plywood of 15 mm thick boarding as shuttering, (Even for WBP sheets the same rate shall be applicable).</t>
  </si>
  <si>
    <t>D 01</t>
  </si>
  <si>
    <t xml:space="preserve">Shuttering for sides of foundation with  1" thick  rubber planking  including dismantling </t>
  </si>
  <si>
    <t>D 02</t>
  </si>
  <si>
    <t>Shuttering for sides and bottom of plinth beams, ground beams including dismantling in 15mm thick plywood board.</t>
  </si>
  <si>
    <t>D 03</t>
  </si>
  <si>
    <t>D 05</t>
  </si>
  <si>
    <t xml:space="preserve">Note:   </t>
  </si>
  <si>
    <t>The rates given in Items D09, D10, D11 herein are applicable for Rubber planks. The rubber planks are allowed only for minor works and should be used  with the written approval of the D.E.</t>
  </si>
  <si>
    <t>Shuttering for R.C.C. copings in top of balcony , stair and boundary walls and pre - cast lintel sides</t>
  </si>
  <si>
    <t>E  -  REINFORCEMENT</t>
  </si>
  <si>
    <t>E 01</t>
  </si>
  <si>
    <t>E 02</t>
  </si>
  <si>
    <r>
      <t xml:space="preserve">Mild steel reinforcement to slabs, beams, lintols, columns, footings &amp; etc.. bent to shape, laid in position and tied with         </t>
    </r>
    <r>
      <rPr>
        <sz val="11"/>
        <color indexed="10"/>
        <rFont val="Times New Roman"/>
        <family val="1"/>
      </rPr>
      <t xml:space="preserve">16 B.W.G. </t>
    </r>
    <r>
      <rPr>
        <sz val="11"/>
        <rFont val="Times New Roman"/>
        <family val="1"/>
      </rPr>
      <t>Aneal binding wire in first floor .</t>
    </r>
  </si>
  <si>
    <t>E 03</t>
  </si>
  <si>
    <r>
      <t xml:space="preserve">Mild steel reinforcement to slabs, beams, lintols, columns, footings &amp; etc.. bent to shape, laid in position and tied with         </t>
    </r>
    <r>
      <rPr>
        <sz val="11"/>
        <color indexed="10"/>
        <rFont val="Times New Roman"/>
        <family val="1"/>
      </rPr>
      <t>16 B.W.G.</t>
    </r>
    <r>
      <rPr>
        <sz val="11"/>
        <rFont val="Times New Roman"/>
        <family val="1"/>
      </rPr>
      <t xml:space="preserve"> Aneal binding wire in second floor .</t>
    </r>
  </si>
  <si>
    <t>E 04</t>
  </si>
  <si>
    <t>E 05</t>
  </si>
  <si>
    <r>
      <t xml:space="preserve">Tor steel reinforcement  to slabs, beams, lintols, columns, footings &amp; etc.. bent to shape, laid in position and tied with         </t>
    </r>
    <r>
      <rPr>
        <sz val="11"/>
        <color indexed="10"/>
        <rFont val="Times New Roman"/>
        <family val="1"/>
      </rPr>
      <t>16 B.W.G.</t>
    </r>
    <r>
      <rPr>
        <sz val="11"/>
        <rFont val="Times New Roman"/>
        <family val="1"/>
      </rPr>
      <t xml:space="preserve"> Aneal binding wire in first  floor.</t>
    </r>
  </si>
  <si>
    <t>E 06</t>
  </si>
  <si>
    <r>
      <t xml:space="preserve">Tor steel reinforcement  to slabs, beams, lintols, columns, footings &amp; etc.. bent to shape, laid in position and tied with         </t>
    </r>
    <r>
      <rPr>
        <sz val="11"/>
        <color indexed="10"/>
        <rFont val="Times New Roman"/>
        <family val="1"/>
      </rPr>
      <t>16 B.W.G.</t>
    </r>
    <r>
      <rPr>
        <sz val="11"/>
        <rFont val="Times New Roman"/>
        <family val="1"/>
      </rPr>
      <t xml:space="preserve"> Aneal binding wire in second floor. </t>
    </r>
  </si>
  <si>
    <t>F  -  BRICK MASONRY</t>
  </si>
  <si>
    <t>F 02</t>
  </si>
  <si>
    <t>Brick work in cement and sand 1:8 in super Structure in ground floor.  ( 9" thick brick work)</t>
  </si>
  <si>
    <t>F 03</t>
  </si>
  <si>
    <t>Brick work in cement and sand 1:8 in 1st floor level.(9" thick brick work)</t>
  </si>
  <si>
    <t>Brick work in cement and sand 1:8 in 2nd floor level.(9" thick brick work)</t>
  </si>
  <si>
    <t>G - CELLULAR  AND SOLID BLOCK MASONRY</t>
  </si>
  <si>
    <t>G 02</t>
  </si>
  <si>
    <t>H  -  RUBBLE MASONRY</t>
  </si>
  <si>
    <t>H 01</t>
  </si>
  <si>
    <t>Random rubble (6"-9") masonry in  cement mortar 1:5 in wall foundation and retaining walls.</t>
  </si>
  <si>
    <t>J  -  FLOORING</t>
  </si>
  <si>
    <t>J 01</t>
  </si>
  <si>
    <t>3/4" thick D.P.C. in cement sand 1:2 finished with 2 coats of D.P.C. tar and blinded with sand.</t>
  </si>
  <si>
    <t>J 02</t>
  </si>
  <si>
    <t>Gauge 700 polythene damp proof membrane with 6" laps laid under floors.</t>
  </si>
  <si>
    <t>J 03</t>
  </si>
  <si>
    <t>Water Proofing</t>
  </si>
  <si>
    <t>K  -  PLASTERING</t>
  </si>
  <si>
    <t>K 01</t>
  </si>
  <si>
    <t>K 02</t>
  </si>
  <si>
    <t>K 03</t>
  </si>
  <si>
    <t>K 04</t>
  </si>
  <si>
    <t>K 05</t>
  </si>
  <si>
    <t>K 06</t>
  </si>
  <si>
    <t>Plastering 3/8" thick to soffit of slab, sunshade, sides and soffit of beams, stair cases and sides of columns in cement and sand 1:3 including floating with lime putty.</t>
  </si>
  <si>
    <t>L -  TILING</t>
  </si>
  <si>
    <t>Tiles should comply with European standard specification CEN 177.</t>
  </si>
  <si>
    <t xml:space="preserve">For Item L01 - L03 Should be tile range manufractured by Lanka Wall Tile or approved equivalant.  </t>
  </si>
  <si>
    <t>Wall Tiling</t>
  </si>
  <si>
    <t>L 02</t>
  </si>
  <si>
    <t>L 04</t>
  </si>
  <si>
    <t>Cement and sand  1:3 screed of  1/2" thick backing to receive wall tiles.</t>
  </si>
  <si>
    <t>Floor Tiling</t>
  </si>
  <si>
    <t>Note :</t>
  </si>
  <si>
    <t>For Item No. L05 to L17 Shall be Homogenous, Vitreous porcelain floor tiles of industrial grade  (heavy duty)  Floor tile range manufractured by Rocell or approved equivalant.  *** Rate includes the cost of 1:3 motar leveling bed.</t>
  </si>
  <si>
    <t>L 05</t>
  </si>
  <si>
    <t>M  -  COLOUR WASHING, PAINTING &amp; POLISHING</t>
  </si>
  <si>
    <t>M 03</t>
  </si>
  <si>
    <t>Q  -  ROOFING AND CEILING</t>
  </si>
  <si>
    <t>Q 01</t>
  </si>
  <si>
    <t>Q 02</t>
  </si>
  <si>
    <t>Q 03</t>
  </si>
  <si>
    <t>Q 04</t>
  </si>
  <si>
    <t>Q 05</t>
  </si>
  <si>
    <t>Q 06</t>
  </si>
  <si>
    <t>S  -  SANITARY FITTINGS</t>
  </si>
  <si>
    <t>S 01</t>
  </si>
  <si>
    <t>S 02</t>
  </si>
  <si>
    <t>S 03</t>
  </si>
  <si>
    <t>S 04</t>
  </si>
  <si>
    <t>S 05</t>
  </si>
  <si>
    <t>S 06</t>
  </si>
  <si>
    <t>S 07</t>
  </si>
  <si>
    <t>S 08</t>
  </si>
  <si>
    <t>S 09</t>
  </si>
  <si>
    <t>S 10</t>
  </si>
  <si>
    <t>S 11</t>
  </si>
  <si>
    <t>S 12</t>
  </si>
  <si>
    <t>S 13</t>
  </si>
  <si>
    <t>T - PLUMBING</t>
  </si>
  <si>
    <t>T 01</t>
  </si>
  <si>
    <t>T 02</t>
  </si>
  <si>
    <t>T 03</t>
  </si>
  <si>
    <t>T 04</t>
  </si>
  <si>
    <t>T 05</t>
  </si>
  <si>
    <t>T 06</t>
  </si>
  <si>
    <t>T 07</t>
  </si>
  <si>
    <t>T 08</t>
  </si>
  <si>
    <t>T 09</t>
  </si>
  <si>
    <t>T 10</t>
  </si>
  <si>
    <t>T 11</t>
  </si>
  <si>
    <t>T 12</t>
  </si>
  <si>
    <t>T 13</t>
  </si>
  <si>
    <t>T 14</t>
  </si>
  <si>
    <t xml:space="preserve">PVC Fittings </t>
  </si>
  <si>
    <t>Water Tanks</t>
  </si>
  <si>
    <t>T 40</t>
  </si>
  <si>
    <t>Supplying and installing 5000 ltr. "Plastishell" or any other water tank  at average 12 ft. height  including transporting and hoisting in position Tank shall have a 5 year warranty from the manufracture.</t>
  </si>
  <si>
    <t xml:space="preserve">Construction of a 12ft. height R.C.C. trestle to lay a 2000 ltr. water tank. ( Water tank measured separately ) </t>
  </si>
  <si>
    <t>No.</t>
  </si>
  <si>
    <t>P.V.C. PIPES</t>
  </si>
  <si>
    <t>All P.V.C. pipes should confirm to S.L.S. 147</t>
  </si>
  <si>
    <t>Water Supply Pipes.</t>
  </si>
  <si>
    <t>Waste Water Pipes.</t>
  </si>
  <si>
    <t>Supplying and Fixing 1 1/4" dia P.V.C. waste pipe (type 600)</t>
  </si>
  <si>
    <t>Supplying and fixing 1 1/2" dia  P.V.C. waste pipe (type 600)</t>
  </si>
  <si>
    <t>Supplying and fixing    2"   dia.  P.V.C waste pipe (type 600)</t>
  </si>
  <si>
    <t>Sewer Pipes.</t>
  </si>
  <si>
    <t>Supplying and laying 4" dia.P.V.C. sewer pipes (type 600) Including cement concrete surrounding 1:3:6: ( 1") as per Drg. No:- WSS 270 - Type I . Excavation paid separately.</t>
  </si>
  <si>
    <t>Supplying and laying 4" dia.P.V.C. sewer pipes (type 600) fixed to wall and floor slab with clips.</t>
  </si>
  <si>
    <t>Pumps &amp; Accessories</t>
  </si>
  <si>
    <t>Water Pressure testing for PVC pipes.</t>
  </si>
  <si>
    <t>Testing of Water tanks &amp; Sumps as per clause 3.8.6 of SCA/4/11</t>
  </si>
  <si>
    <t>U  -  DRAINAGE</t>
  </si>
  <si>
    <t>Waste Water Manhole - Brick</t>
  </si>
  <si>
    <t>U 01</t>
  </si>
  <si>
    <t>U 02</t>
  </si>
  <si>
    <r>
      <t xml:space="preserve">Construction of waste water brick manhole internal size of 1'-3" x 1'-3" &amp; depth upto 2'-0", consist of 3" thick Grade 15 concrete base and 4 1/2" thick brick masonry side walls in 1:3 cement sand mix , 1/2" thick cement rendering in 1:2 to internal &amp; external exposed surfaces of walls finished smooth with neat cement floatings, with 2" thick Grade 20 RCC cover slab with 6mm dia. M.S. rods @ 4" c/c both ways. Rate to include for excavation, necessary formwork , lifting hooks &amp; 3" thick concrete pad as per </t>
    </r>
    <r>
      <rPr>
        <sz val="11"/>
        <color indexed="10"/>
        <rFont val="Times New Roman"/>
        <family val="1"/>
      </rPr>
      <t xml:space="preserve">Drawing No:- </t>
    </r>
    <r>
      <rPr>
        <b/>
        <sz val="11"/>
        <color indexed="10"/>
        <rFont val="Times New Roman"/>
        <family val="1"/>
      </rPr>
      <t>WSS/10/01</t>
    </r>
  </si>
  <si>
    <t>U 03</t>
  </si>
  <si>
    <t>U 04</t>
  </si>
  <si>
    <t>U 05</t>
  </si>
  <si>
    <t>U 06</t>
  </si>
  <si>
    <t>Sewer Manhole - Brick</t>
  </si>
  <si>
    <r>
      <t xml:space="preserve">Construction of brick sewer manhole internal size of 2'-6" x 1'-7" &amp; depth vary from 2'-0" - 3'-0", consist of 6" thick Grade 15 lean concrete base and 9" thick brick masonry side walls in 1:3 cement sand mix ,with 3" thick Grade 20 RCC cover slab with 10mm dia.tor steel @ 6" c/c both ways. Rate to include for excavation, necessary formwork, lifting hooks , concrete pad and 1/2" thick cement  &amp; sand rendering in 1:2 mix trowel smooth with neat grey cement to all internal surfaces , exposed external  surfaces and forming channel with 1:6 benching as per </t>
    </r>
    <r>
      <rPr>
        <sz val="11"/>
        <color indexed="10"/>
        <rFont val="Times New Roman"/>
        <family val="1"/>
      </rPr>
      <t>Drawing No:-</t>
    </r>
    <r>
      <rPr>
        <b/>
        <sz val="11"/>
        <color indexed="10"/>
        <rFont val="Times New Roman"/>
        <family val="1"/>
      </rPr>
      <t xml:space="preserve"> WSS/10/03</t>
    </r>
  </si>
  <si>
    <t>Manhole Covers</t>
  </si>
  <si>
    <t>RCC Manhole cover size of 2'-0" x 2'-0" approx. &amp; 3" thick Consist of  1:2:4(3/4") concrete &amp; 10mm dia. Tor steel bars @ 6" C/C both ways. Rate include necessary formwork and lifting hooks.</t>
  </si>
  <si>
    <t>Gulleys</t>
  </si>
  <si>
    <t xml:space="preserve">Gulley S.W. 4" supplied and fixed including 1:2:4(3/4")concrete gully box. </t>
  </si>
  <si>
    <t>Soakage Pits</t>
  </si>
  <si>
    <r>
      <t xml:space="preserve">Construction of  6'-0" dia. soakage pit  in hard soil including necessary excavation as per </t>
    </r>
    <r>
      <rPr>
        <sz val="11"/>
        <color indexed="10"/>
        <rFont val="Times New Roman"/>
        <family val="1"/>
      </rPr>
      <t>Drawing No:- WSS/SP/02.</t>
    </r>
  </si>
  <si>
    <t>Septic tanks</t>
  </si>
  <si>
    <t>V - ELECTRICAL INSTALLATION.</t>
  </si>
  <si>
    <t>V 05</t>
  </si>
  <si>
    <t>V 06</t>
  </si>
  <si>
    <t>V 07</t>
  </si>
  <si>
    <t>V 08</t>
  </si>
  <si>
    <t>V 09</t>
  </si>
  <si>
    <t>V 10</t>
  </si>
  <si>
    <t>V 11</t>
  </si>
  <si>
    <t>V 12</t>
  </si>
  <si>
    <t>V 13</t>
  </si>
  <si>
    <t>V 14</t>
  </si>
  <si>
    <t>V 15</t>
  </si>
  <si>
    <t>V 16</t>
  </si>
  <si>
    <t>V 17</t>
  </si>
  <si>
    <t>V 18</t>
  </si>
  <si>
    <t>N</t>
  </si>
  <si>
    <t>W - METAL WORK</t>
  </si>
  <si>
    <t>W 01</t>
  </si>
  <si>
    <t>W 02</t>
  </si>
  <si>
    <t>W 03</t>
  </si>
  <si>
    <t>Approved earth supplying and piled at site (measured at piled volume)</t>
  </si>
  <si>
    <t xml:space="preserve">Transport of Bulk material (Earth, Graded quarry dust, ABC mix) per
Km per cube.
</t>
  </si>
  <si>
    <t xml:space="preserve">Compaction  of  Earth  including  watering  in  225mm  thick  layers
(measured on piled volume) using machine Rammer. Rate include hire
charges of the machine rammer. This rate is applicable for building
construction  with earth work not exceeding 50 cubes.  (earth available
at site).
</t>
  </si>
  <si>
    <t xml:space="preserve">Cement concrete 1:3:6 (1") laid to a thickness of 2" in wall foundations,
under column/stair footings, including placing in position,compacting
and curing.
</t>
  </si>
  <si>
    <t xml:space="preserve">Volume Batched Grade 20 concrete prepaired at site  for reinforced and
unreinforced concrete floors laid on ground.   Rate shall include the cost of curing continously  for 5 days. 
</t>
  </si>
  <si>
    <t xml:space="preserve">Volume Batched Grade 25 concrete prepared at site using mixer and
vibrator  in ground  floor.  Rate  shall  include  the  cost  of curing
continously for 7 days. 
</t>
  </si>
  <si>
    <t>UP TO DPC LEVEL</t>
  </si>
  <si>
    <t>Groung floor concrete</t>
  </si>
  <si>
    <r>
      <t>Pumping charge for quantites up to 30 m</t>
    </r>
    <r>
      <rPr>
        <vertAlign val="superscript"/>
        <sz val="11"/>
        <rFont val="Times New Roman"/>
        <family val="1"/>
      </rPr>
      <t xml:space="preserve">3 </t>
    </r>
    <r>
      <rPr>
        <sz val="11"/>
        <rFont val="Times New Roman"/>
        <family val="1"/>
      </rPr>
      <t xml:space="preserve">  by pump car</t>
    </r>
  </si>
  <si>
    <r>
      <t>For more than 30 m</t>
    </r>
    <r>
      <rPr>
        <vertAlign val="superscript"/>
        <sz val="11"/>
        <rFont val="Times New Roman"/>
        <family val="1"/>
      </rPr>
      <t xml:space="preserve">3 </t>
    </r>
    <r>
      <rPr>
        <sz val="11"/>
        <rFont val="Times New Roman"/>
        <family val="1"/>
      </rPr>
      <t>additional pumping charges. (Rate for every m</t>
    </r>
    <r>
      <rPr>
        <vertAlign val="superscript"/>
        <sz val="11"/>
        <rFont val="Times New Roman"/>
        <family val="1"/>
      </rPr>
      <t>3</t>
    </r>
    <r>
      <rPr>
        <sz val="11"/>
        <rFont val="Times New Roman"/>
        <family val="1"/>
      </rPr>
      <t xml:space="preserve"> over and above 30 m</t>
    </r>
    <r>
      <rPr>
        <vertAlign val="superscript"/>
        <sz val="11"/>
        <rFont val="Times New Roman"/>
        <family val="1"/>
      </rPr>
      <t>3</t>
    </r>
    <r>
      <rPr>
        <sz val="11"/>
        <rFont val="Times New Roman"/>
        <family val="1"/>
      </rPr>
      <t>)</t>
    </r>
  </si>
  <si>
    <t>Curing  of  Concrete  slabs  with  ponding  water  or  covering  with polythene sheets and continuous wetting for 7 days.</t>
  </si>
  <si>
    <t xml:space="preserve">Casting of 6" x 6" x 6" concrete cubes on a steel mould, curing for 7
days and testing for compressive strength at an approved  laboratory
(rate includes transport of cubes from site to laboratory ).
</t>
  </si>
  <si>
    <t>Sq.ft</t>
  </si>
  <si>
    <t xml:space="preserve">Ready mix concrete of grade 25(25 N/mm2) confirming to SLS 1144-
1997, transport 20km from batching plant. Rate shall inclue for placing, levelling, vibrating &amp; curing the concrete &amp; pump car cost
</t>
  </si>
  <si>
    <t>Up to DPC level</t>
  </si>
  <si>
    <t xml:space="preserve">Shuttering for floor slab including dismantling in 15mm thick Plywood
board  or steel boarding support by  steel jack up to 13'-0".
</t>
  </si>
  <si>
    <t xml:space="preserve">Shuttering  for  floor  Beams  including  dismantling  in  15mm  thick
plywood board up to 12'-0" soffit height supported by timber props or
steel jacks.
</t>
  </si>
  <si>
    <t xml:space="preserve">In staircase Up to DPC level </t>
  </si>
  <si>
    <r>
      <t xml:space="preserve">Mild steel reinforcement to slabs, beams, lintols, columns, footings &amp; etc.. bent to shape, laid in position and tied with         </t>
    </r>
    <r>
      <rPr>
        <sz val="11"/>
        <color indexed="10"/>
        <rFont val="Times New Roman"/>
        <family val="1"/>
      </rPr>
      <t>16 B.W.G.</t>
    </r>
    <r>
      <rPr>
        <sz val="11"/>
        <rFont val="Times New Roman"/>
        <family val="1"/>
      </rPr>
      <t xml:space="preserve"> Aneal binding wire up to Dpc .</t>
    </r>
  </si>
  <si>
    <r>
      <t xml:space="preserve">Tor steel reinforcement to slabs, beams, lintols, columns, footings &amp; etc.. bent to shape, laid in position and tied with         </t>
    </r>
    <r>
      <rPr>
        <sz val="11"/>
        <color indexed="10"/>
        <rFont val="Times New Roman"/>
        <family val="1"/>
      </rPr>
      <t>16 B.W.G</t>
    </r>
    <r>
      <rPr>
        <sz val="11"/>
        <rFont val="Times New Roman"/>
        <family val="1"/>
      </rPr>
      <t>. Aneal binding wire up to Dpc .</t>
    </r>
  </si>
  <si>
    <t>In Beams</t>
  </si>
  <si>
    <t>In Slab</t>
  </si>
  <si>
    <t>In Staircase</t>
  </si>
  <si>
    <r>
      <t xml:space="preserve">Mild steel reinforcement to slabs, beams, lintols, columns, footings &amp; etc.. bent to shape, laid in position and tied with         </t>
    </r>
    <r>
      <rPr>
        <sz val="11"/>
        <color indexed="10"/>
        <rFont val="Times New Roman"/>
        <family val="1"/>
      </rPr>
      <t>16 B.W.G.</t>
    </r>
    <r>
      <rPr>
        <sz val="11"/>
        <rFont val="Times New Roman"/>
        <family val="1"/>
      </rPr>
      <t xml:space="preserve"> Aneal binding wire in Third floor .</t>
    </r>
  </si>
  <si>
    <r>
      <t xml:space="preserve">Tor steel reinforcement  to slabs, beams, lintols, columns, footings &amp; etc.. bent to shape, laid in position and tied with         </t>
    </r>
    <r>
      <rPr>
        <sz val="11"/>
        <color indexed="10"/>
        <rFont val="Times New Roman"/>
        <family val="1"/>
      </rPr>
      <t>16 B.W.G.</t>
    </r>
    <r>
      <rPr>
        <sz val="11"/>
        <rFont val="Times New Roman"/>
        <family val="1"/>
      </rPr>
      <t xml:space="preserve"> Aneal binding wire in Third floor. </t>
    </r>
  </si>
  <si>
    <t xml:space="preserve">6" thick cement sand Cellular block wall (blocks confirming to S.L.S.
855  and subject to the approval of sample blocks) in cement and  sand
mortar 1:5 
</t>
  </si>
  <si>
    <t>4" thick cement sand Cellular block wall (blocks confirming to S.L.S.855 and subject to the approval of the quality of the blocks) in cement and sand mortar 1:5</t>
  </si>
  <si>
    <t xml:space="preserve">Application of elastomeric water proofing material capable to withstand
temperature variation for wet areas exposed to sunlight and weathering.
(  balconies,  sun-shades,  concrete  gutters.) rate  shall  include  for
cleaning  the  substrate  and  all  other  work  as  per  manufacturer's
specifications with 10 years warranty on application and shall include
for ponding test for a 300mm water height kept for a period of 48 hours
for horizontal surfaces.          
</t>
  </si>
  <si>
    <t xml:space="preserve">Rendering  1/2"  thick  in  cement  and  sand  1:3  in  R.C.C.  floors  and
paved  floors finished smooth with cement slurry and colour pigment as a roof slab &amp; machine room protecting bed.
</t>
  </si>
  <si>
    <t xml:space="preserve">5/8"  thick  plastering  to  plinth  wall  in  cement  sand  1:3  including
finishing with cement slurry floating.
</t>
  </si>
  <si>
    <t xml:space="preserve">Plastering 5/8" thick to walls in cement and sand 1:5 finished semi-
rough.
</t>
  </si>
  <si>
    <t xml:space="preserve">Plastering 5/8" thick to reveals width not exceeding 6" in cement and
sand 1:5 finished semi-rough.
</t>
  </si>
  <si>
    <t xml:space="preserve">Plastering 5/8" thick to walls in cement and sand 1:5 finished smooth
with skim coat.
</t>
  </si>
  <si>
    <t xml:space="preserve">Plastering 5/8" thick to reveals width not exceeding 6" in cement and
sand 1:5 finished smooth with skim coat </t>
  </si>
  <si>
    <t xml:space="preserve">Glazed  Ceramic   wall  tiling  of  size  24"  x  12"   approved  colour,
supplying and fixing to walls on a 1:3 cement sand mortar layer, and
pointed with tile grout to match the tile. (Rate does not include  the 1:3
cement sand mortar layer and is separately measured under item L02)
(Prime Cost of tile Rs.380.00)
</t>
  </si>
  <si>
    <t xml:space="preserve">Homogeneous porcelain semi - rough floor tile  24" x 24" paving on
1:3 cement &amp; sand bedding and pointed with tile grout to match the
tile. (Prime Cost of tile Rs.860.00)
</t>
  </si>
  <si>
    <t xml:space="preserve">Supplying and laying homogeneous  porcelain tiles at staircase treads
including  nosing  type  paving  on  1:3  cement  &amp;  sand  bedding  and
pointed with tile grout to match the tile.
</t>
  </si>
  <si>
    <t xml:space="preserve">Supply and laying of 4" high skirting including tile grout to match the
tile for staircases. 
</t>
  </si>
  <si>
    <t xml:space="preserve">Supply and laying of 4" high skirting including tile grout to match the
tile of tiling 
</t>
  </si>
  <si>
    <t>Lft</t>
  </si>
  <si>
    <t xml:space="preserve">Painting walls with two coats of emulsion paint including preparing
surface.
</t>
  </si>
  <si>
    <t xml:space="preserve">Painting  walls &amp; soffit with  one  coat  of   wall  primer  
</t>
  </si>
  <si>
    <t xml:space="preserve">Painting soffit with two coats of emulsion paint including preparing
surface.
</t>
  </si>
  <si>
    <t xml:space="preserve">Painting  walls  with  two  coats  of  weathershield  paint  including
preparing surface.
</t>
  </si>
  <si>
    <t xml:space="preserve">Zincalum flashing (0.47mm thick) and  1'6" wide bent to shape and
fixed to wall (without timber coating)
</t>
  </si>
  <si>
    <t xml:space="preserve">Supply  and  fix  proprietary  coated  zincalum  gutter  (minimum  base
metal thickness of sheet 0.4mm and minimum total thickness 0.47mm)
complete with end caps, running joints etc. All joints to be properly
connected with an adequate side laps not less than 225mm length and
with sealant to ensure water tightness along the entire length of the
gutter and including angle iron gutter brackets 25mm x 25mm x 3mm
at 450mm centers with an  adequate slope as directed  and including
application of two coats of each anticorrosive paint and enamel paint to
all steel surfaces to match the gutter fix in position.( Inner size of gutter
150mm x 175mm )
</t>
  </si>
  <si>
    <t xml:space="preserve">Supply  and  fix  proprietary  coated  zincalum  square  down  pipe
(minimum base metal thickness of sheet 0.40mm and minimum total
thickness 0.47mm) complete with necessary socket , elbow &amp; bend.
All joints to be properly connected and with sealant to ensure water
tightness along the entire length. Down pipe brackets @ 1.0m c/c .
</t>
  </si>
  <si>
    <t xml:space="preserve">Supply and  fix Chromium plated single level wash basin  mixer tap
without pop-up  waste with  connection flex  of "S-LON"   brand  model
"XG2-SOH" or approved equivalent with 5 year written warranty from
the authorized agent.
</t>
  </si>
  <si>
    <t xml:space="preserve">Supply  and  fix  white  vitreous  china  floor  standing  wash
pedestal with overflow hole and single tap hole in center of "ROCELL"
brand &amp;  model "Urban D" or approved equivalent complete to working
order inclusive of the 1 1/4" chromium plated waste outlet of "ROCELL"
brand &amp;  model "A706" and 1 1/4" chromium plated siphon cleanable
bottale trap of "ROCELL"  brand &amp;  model "A186".
</t>
  </si>
  <si>
    <t xml:space="preserve">Supply and fix white vitreous china floor standing close coupled semi
back to wall water closet suite with wash down flushing with 6/3 liters
dual  flushing,  including  vario  drain  bend  and  two  lateral  holes  for
bottom water connection , cistern with water inlet from rear of "ROCELL"
brand &amp;  model "Urban D" or approved equivalent complete to working
order inclusive of universal bend of "ROCELL"   brand &amp;
Joint".
</t>
  </si>
  <si>
    <t xml:space="preserve">Supply and fix ceramic urinal with flush valve of "ROCELL"  brand model
DP70013 or approved equivalent complete to working order.
</t>
  </si>
  <si>
    <t xml:space="preserve">Supply  and  fix  Chromium  plated  1/2"  dia.  angle  valve of  "S-LON"
brand model No.JG6(B) or approved equivalent.  
</t>
  </si>
  <si>
    <t xml:space="preserve">Supply and fix 5mm thick mirror of size 18" x 24" double coated with
pencil edge back strecher.
</t>
  </si>
  <si>
    <t xml:space="preserve">Supply and  fix  chromium plated  Soap  Basket  of "ROCELL" brand  &amp;
model "Charming"  or approved equivalent. (Semi-luxuary range )
</t>
  </si>
  <si>
    <t xml:space="preserve">SSupply and fix chromium plated Toilet Paper Holder of "ROCELL"
&amp;  model "Charming"  or approved equivalent.
</t>
  </si>
  <si>
    <t xml:space="preserve">Supply and fix chromium plated 600mm long Single Towel Bar of
"ROCELL"  brand &amp;  model "Charming"  or approved equivalent.
</t>
  </si>
  <si>
    <t xml:space="preserve">Supplying  and  fixing  Plastic  Bidet  Shower  of  "S-lon"  brand  or
approved equivalent.
</t>
  </si>
  <si>
    <t>Supply and fixing 2"  dia  PVC Compact Ball valve.</t>
  </si>
  <si>
    <t xml:space="preserve">Supplying  and  fixing  water  pump  single  phase  manufactured  by  "
Jinasena" Model no:- N110T/1 ,size 1" x 1" , 0.75 H.P. , total head 80'-
0"  ,  out  put  1000  I.g/hr.  as  per  manufacturer's  specifications.  Rate
include for fixing 1" dia. Foot valve approved make, Positioning and
mount the pump on a concrete bed 9" x 9" x 3" thick in 1:2:4(3/4")
with 10mm dia. hexagonal bolts to required lengh , Nuts &amp; Washers
1/16" thick complete in working order using necessary P.V.C. pipes,
specials...etc. &amp; electrical supply from the closest DB. Pipes , specials
&amp; electricity connection paid separatly.
</t>
  </si>
  <si>
    <t xml:space="preserve">Supplying   and   fixing   4'-0"   dia.x   8'-0"   Pre-cast   Septic   tank
manufactured by "SEC" or approved equivalent including excavation
depth not exeeding 8'-0" and sand fill upto 2'-0" hight surrounding the
tank.  Rate  shall  include  hire  charges  of  boomtruck  for  placing  and
subject to specific approval by the Divisional Engineer.
</t>
  </si>
  <si>
    <t xml:space="preserve">Supply and  fix  ceramic  wall  hung  wash  basin  for  disabled  of
"AMERICAN  STANDARD "brand, model 0995-WT with waste &amp; plug A-8006-N or approved equivalent.-Disable wash room
</t>
  </si>
  <si>
    <t xml:space="preserve">Supply and fix white ceramic water closet suite for the disabled of
"AMERICAN    STANDARD"    brand  &amp;   model  Ventura  UP-3200.001.9  ,
Cygnet  tank  PP.4041.020.03.1  and  Seat  and  cover  MTC0903  or
approved equivalent complete to working order.
</t>
  </si>
  <si>
    <t xml:space="preserve">N  - DOORS &amp; WINDOWS </t>
  </si>
  <si>
    <r>
      <rPr>
        <b/>
        <sz val="11"/>
        <rFont val="Times New Roman"/>
        <family val="1"/>
      </rPr>
      <t>P</t>
    </r>
    <r>
      <rPr>
        <sz val="11"/>
        <rFont val="Times New Roman"/>
        <family val="1"/>
      </rPr>
      <t xml:space="preserve">rovide lump sum to construct furnish, maintain and removal at end of contract contractor's office and Engineers office separately. </t>
    </r>
  </si>
  <si>
    <r>
      <rPr>
        <b/>
        <sz val="11"/>
        <rFont val="Times New Roman"/>
        <family val="1"/>
      </rPr>
      <t>P</t>
    </r>
    <r>
      <rPr>
        <sz val="11"/>
        <rFont val="Times New Roman"/>
        <family val="1"/>
      </rPr>
      <t>rovide lump sum for electronic equipment and setting out of the works.</t>
    </r>
  </si>
  <si>
    <r>
      <rPr>
        <b/>
        <sz val="11"/>
        <rFont val="Times New Roman"/>
        <family val="1"/>
      </rPr>
      <t>P</t>
    </r>
    <r>
      <rPr>
        <sz val="11"/>
        <rFont val="Times New Roman"/>
        <family val="1"/>
      </rPr>
      <t>rovide lump sum for providing temporary water supply for the use of works.</t>
    </r>
  </si>
  <si>
    <r>
      <rPr>
        <b/>
        <sz val="11"/>
        <rFont val="Times New Roman"/>
        <family val="1"/>
      </rPr>
      <t>P</t>
    </r>
    <r>
      <rPr>
        <sz val="11"/>
        <rFont val="Times New Roman"/>
        <family val="1"/>
      </rPr>
      <t>rovide lump sum for temporary electricity services for the use of works</t>
    </r>
  </si>
  <si>
    <r>
      <rPr>
        <b/>
        <sz val="11"/>
        <rFont val="Times New Roman"/>
        <family val="1"/>
      </rPr>
      <t>P</t>
    </r>
    <r>
      <rPr>
        <sz val="11"/>
        <rFont val="Times New Roman"/>
        <family val="1"/>
      </rPr>
      <t>rovide lump sum for necessary protective fencing, hoarding and temporary dust screen, to fully cover from dust and particles etc. around buildings due to construction activities as directed by the Engineer</t>
    </r>
  </si>
  <si>
    <r>
      <rPr>
        <b/>
        <sz val="11"/>
        <rFont val="Times New Roman"/>
        <family val="1"/>
      </rPr>
      <t>P</t>
    </r>
    <r>
      <rPr>
        <sz val="11"/>
        <rFont val="Times New Roman"/>
        <family val="1"/>
      </rPr>
      <t>rovide lump sum for necessary warning notices, adequate night lighting etc.</t>
    </r>
  </si>
  <si>
    <r>
      <rPr>
        <b/>
        <sz val="11"/>
        <rFont val="Times New Roman"/>
        <family val="1"/>
      </rPr>
      <t>P</t>
    </r>
    <r>
      <rPr>
        <sz val="11"/>
        <rFont val="Times New Roman"/>
        <family val="1"/>
      </rPr>
      <t>rovide lump sum for providing security and safeguarding the works, material &amp; plant against damage, vandalism and trespass.</t>
    </r>
  </si>
  <si>
    <r>
      <rPr>
        <b/>
        <sz val="11"/>
        <rFont val="Times New Roman"/>
        <family val="1"/>
      </rPr>
      <t>P</t>
    </r>
    <r>
      <rPr>
        <sz val="11"/>
        <rFont val="Times New Roman"/>
        <family val="1"/>
      </rPr>
      <t>rovide lump sum for demobilization, removal of all rubbish &amp; debris and clearing up site on completion, leaving all in good order and handing over.</t>
    </r>
  </si>
  <si>
    <t>B 02</t>
  </si>
  <si>
    <t>B 03</t>
  </si>
  <si>
    <t>B 05</t>
  </si>
  <si>
    <t>B 06</t>
  </si>
  <si>
    <t>B 07</t>
  </si>
  <si>
    <t>B 08</t>
  </si>
  <si>
    <t>C 01</t>
  </si>
  <si>
    <t>C2.1</t>
  </si>
  <si>
    <t>C2.2</t>
  </si>
  <si>
    <t>C2.3</t>
  </si>
  <si>
    <t>C2.4</t>
  </si>
  <si>
    <t>C 03</t>
  </si>
  <si>
    <t>C3.1</t>
  </si>
  <si>
    <t>C3.2</t>
  </si>
  <si>
    <t>C3.3</t>
  </si>
  <si>
    <t>C4.1</t>
  </si>
  <si>
    <t>C4.3</t>
  </si>
  <si>
    <t>C4.2</t>
  </si>
  <si>
    <t>C4.4</t>
  </si>
  <si>
    <t>C 05</t>
  </si>
  <si>
    <t>C5.1</t>
  </si>
  <si>
    <t>C5.2</t>
  </si>
  <si>
    <t>C5.3</t>
  </si>
  <si>
    <t>C5.4</t>
  </si>
  <si>
    <t>C5.5</t>
  </si>
  <si>
    <t>C5.6</t>
  </si>
  <si>
    <t>C5.7</t>
  </si>
  <si>
    <t>C5.8</t>
  </si>
  <si>
    <t>C5.9</t>
  </si>
  <si>
    <t>C5.10</t>
  </si>
  <si>
    <t>C5.11</t>
  </si>
  <si>
    <t>C5.12</t>
  </si>
  <si>
    <t>C5.13</t>
  </si>
  <si>
    <t>C5.14</t>
  </si>
  <si>
    <t>C5.15</t>
  </si>
  <si>
    <t>C5.16</t>
  </si>
  <si>
    <t>D 1.1</t>
  </si>
  <si>
    <t>D 1.2</t>
  </si>
  <si>
    <t>D 1.3</t>
  </si>
  <si>
    <t>D 04</t>
  </si>
  <si>
    <t>D 3.1</t>
  </si>
  <si>
    <t>D 3.2</t>
  </si>
  <si>
    <t>D 3.3</t>
  </si>
  <si>
    <t>D 3.4</t>
  </si>
  <si>
    <t>D 4.1</t>
  </si>
  <si>
    <t>D 4.2</t>
  </si>
  <si>
    <t>D 4.3</t>
  </si>
  <si>
    <t>D 4.4</t>
  </si>
  <si>
    <t>D 06</t>
  </si>
  <si>
    <t>D 5.1</t>
  </si>
  <si>
    <t>D 5.2</t>
  </si>
  <si>
    <t>D 5.3</t>
  </si>
  <si>
    <t>D 5.4</t>
  </si>
  <si>
    <t>D 6.1</t>
  </si>
  <si>
    <t>D 6.2</t>
  </si>
  <si>
    <t>D 6.3</t>
  </si>
  <si>
    <t>E1.1</t>
  </si>
  <si>
    <t>E1.2</t>
  </si>
  <si>
    <t>E2.1</t>
  </si>
  <si>
    <t>E2.2</t>
  </si>
  <si>
    <t>E3.1</t>
  </si>
  <si>
    <t>E3.2</t>
  </si>
  <si>
    <t>E4.1</t>
  </si>
  <si>
    <t>E4.2</t>
  </si>
  <si>
    <t>E5.1</t>
  </si>
  <si>
    <t>E5.2</t>
  </si>
  <si>
    <t>E6.1</t>
  </si>
  <si>
    <t>E6.2</t>
  </si>
  <si>
    <t>E6.3</t>
  </si>
  <si>
    <t>E6.4</t>
  </si>
  <si>
    <t>E 07</t>
  </si>
  <si>
    <t>E7.1</t>
  </si>
  <si>
    <t>E7.3</t>
  </si>
  <si>
    <t>E7.2</t>
  </si>
  <si>
    <t>E7.4</t>
  </si>
  <si>
    <t>E 08</t>
  </si>
  <si>
    <t>E8.1</t>
  </si>
  <si>
    <t>E8.2</t>
  </si>
  <si>
    <t>E8.3</t>
  </si>
  <si>
    <t>E8.4</t>
  </si>
  <si>
    <t>E 09</t>
  </si>
  <si>
    <t>E9.1</t>
  </si>
  <si>
    <t>E9.2</t>
  </si>
  <si>
    <t>E9.3</t>
  </si>
  <si>
    <t>E 10</t>
  </si>
  <si>
    <t>E10.1</t>
  </si>
  <si>
    <t>E10.2</t>
  </si>
  <si>
    <t>E10.3</t>
  </si>
  <si>
    <t>F 01</t>
  </si>
  <si>
    <t>G 01</t>
  </si>
  <si>
    <t>G1.1</t>
  </si>
  <si>
    <t>G1.2</t>
  </si>
  <si>
    <t>G1.3</t>
  </si>
  <si>
    <t>G1.4</t>
  </si>
  <si>
    <t>G2.1</t>
  </si>
  <si>
    <t>G2.2</t>
  </si>
  <si>
    <t>G2.3</t>
  </si>
  <si>
    <t>J3.1</t>
  </si>
  <si>
    <t>J3.2</t>
  </si>
  <si>
    <t>J 04</t>
  </si>
  <si>
    <t>K2.1</t>
  </si>
  <si>
    <t>K2.2</t>
  </si>
  <si>
    <t>K2.3</t>
  </si>
  <si>
    <t>K2.4</t>
  </si>
  <si>
    <t>K2.5</t>
  </si>
  <si>
    <t>K4.1</t>
  </si>
  <si>
    <t>K4.4</t>
  </si>
  <si>
    <t>K4.2</t>
  </si>
  <si>
    <t>K4.3</t>
  </si>
  <si>
    <t>K4.5</t>
  </si>
  <si>
    <t>K6.1</t>
  </si>
  <si>
    <t>K6.2</t>
  </si>
  <si>
    <t>K6.3</t>
  </si>
  <si>
    <t>K6.4</t>
  </si>
  <si>
    <t>L 01</t>
  </si>
  <si>
    <t>L1.1</t>
  </si>
  <si>
    <t>L1.2</t>
  </si>
  <si>
    <t>L 03</t>
  </si>
  <si>
    <t>L3.1</t>
  </si>
  <si>
    <t>L3.2</t>
  </si>
  <si>
    <t>L3.3</t>
  </si>
  <si>
    <t>L 06</t>
  </si>
  <si>
    <t>M 01</t>
  </si>
  <si>
    <t>M1.1</t>
  </si>
  <si>
    <t>M1.2</t>
  </si>
  <si>
    <t>M1.3</t>
  </si>
  <si>
    <t>M1.4</t>
  </si>
  <si>
    <t>M1.5</t>
  </si>
  <si>
    <t>M 02</t>
  </si>
  <si>
    <t>M2.1</t>
  </si>
  <si>
    <t>M2.5</t>
  </si>
  <si>
    <t>M2.4</t>
  </si>
  <si>
    <t>M2.2</t>
  </si>
  <si>
    <t>M2.3</t>
  </si>
  <si>
    <t>M 04</t>
  </si>
  <si>
    <t>M3.1</t>
  </si>
  <si>
    <t>M4.1</t>
  </si>
  <si>
    <t>M4.2</t>
  </si>
  <si>
    <t>M3.2</t>
  </si>
  <si>
    <t>M3.3</t>
  </si>
  <si>
    <t>M3.4</t>
  </si>
  <si>
    <t>M4.3</t>
  </si>
  <si>
    <t>M4.4</t>
  </si>
  <si>
    <t>M4.5</t>
  </si>
  <si>
    <t>N 01</t>
  </si>
  <si>
    <t>N 02</t>
  </si>
  <si>
    <t>N 03</t>
  </si>
  <si>
    <t>N 04</t>
  </si>
  <si>
    <t>N 05</t>
  </si>
  <si>
    <t>N 06</t>
  </si>
  <si>
    <t>C</t>
  </si>
  <si>
    <t>D</t>
  </si>
  <si>
    <t>E</t>
  </si>
  <si>
    <t>F</t>
  </si>
  <si>
    <t>G</t>
  </si>
  <si>
    <t>H</t>
  </si>
  <si>
    <t>J</t>
  </si>
  <si>
    <t>K</t>
  </si>
  <si>
    <t>L</t>
  </si>
  <si>
    <t>M</t>
  </si>
  <si>
    <t>Q</t>
  </si>
  <si>
    <t>S</t>
  </si>
  <si>
    <t>T</t>
  </si>
  <si>
    <t>U</t>
  </si>
  <si>
    <t>V</t>
  </si>
  <si>
    <t>W</t>
  </si>
  <si>
    <t>CONCRETE</t>
  </si>
  <si>
    <t>FORM WORK</t>
  </si>
  <si>
    <t>REINFORCEMENT</t>
  </si>
  <si>
    <t>BRICK MASONRY</t>
  </si>
  <si>
    <t>CELLULAR  AND SOLID BLOCK MASONRY</t>
  </si>
  <si>
    <t>RUBBLE MASONRY</t>
  </si>
  <si>
    <t>FLOORING</t>
  </si>
  <si>
    <t>PLASTERING</t>
  </si>
  <si>
    <t>TILING</t>
  </si>
  <si>
    <t>COLOUR WASHING, PAINTING &amp; POLISHING</t>
  </si>
  <si>
    <t xml:space="preserve">DOORS &amp; WINDOWS </t>
  </si>
  <si>
    <t>ROOFING AND CEILING</t>
  </si>
  <si>
    <t>SANITARY FITTINGS</t>
  </si>
  <si>
    <t>PLUMBING</t>
  </si>
  <si>
    <t>DRAINAGE</t>
  </si>
  <si>
    <t>ELECTRICAL INSTALLATION.</t>
  </si>
  <si>
    <t>Sqft</t>
  </si>
  <si>
    <r>
      <rPr>
        <b/>
        <sz val="11"/>
        <rFont val="Times New Roman"/>
        <family val="1"/>
      </rPr>
      <t>Openable Single Sash Door ( Fully Glazed )</t>
    </r>
    <r>
      <rPr>
        <sz val="11"/>
        <rFont val="Times New Roman"/>
        <family val="1"/>
      </rPr>
      <t xml:space="preserve"> 
Black powder coated aluminium single sash butt hinged openable door with middle rail and glazed with 5mm thick clear glass panes, neoprene and wooled beading,  gaskets,  pop  rivots,  threaded  bar  with  nut  and  approved quality lock, butt hinges, door handle with cap nut. As per the members , sizes and details given in Drawing No:- AR/TYPE PLAN/DOORS &amp;WINDOWS/ 2015.04.01/ DETAIL 03 - D6
</t>
    </r>
  </si>
  <si>
    <r>
      <rPr>
        <b/>
        <sz val="11"/>
        <rFont val="Times New Roman"/>
        <family val="1"/>
      </rPr>
      <t>Sliding Window</t>
    </r>
    <r>
      <rPr>
        <sz val="11"/>
        <rFont val="Times New Roman"/>
        <family val="1"/>
      </rPr>
      <t xml:space="preserve">
Black powder coated aluminium sliding window ,consisting of 5mm thick clear glasspanels , lock, roller, screws, gaskets, nut felt, pop rivots, cap, plastic guide etc. As per the members , sizes and details given in Drawing No:-AR/ TYPE PLAN/ DOORS &amp; WINDOWS/ 2015.04.01/ DETAIL 11 -W9
</t>
    </r>
  </si>
  <si>
    <r>
      <rPr>
        <b/>
        <sz val="11"/>
        <rFont val="Times New Roman"/>
        <family val="1"/>
      </rPr>
      <t xml:space="preserve"> Partition Door Fully Panelled with Laminated Plywood 
(two sheets kept back to back)</t>
    </r>
    <r>
      <rPr>
        <sz val="11"/>
        <rFont val="Times New Roman"/>
        <family val="1"/>
      </rPr>
      <t xml:space="preserve">
Black powder coated aluminium single sash butt hinged openable door with middle rail and fully panelled with 2.5mm thick single side laminated plywood,(  two  pannels  kept  back  to  back  ),  neoprene  and  wooled  beading, gaskets, pop rivots, threaded bar with nut and approved quality lock, butt hinges, door handle with cap nut. As per the members , sizes and
details   given   in   Drawing   No:-   AR/TYPE   PLAN/DOORS   &amp;
WINDOWS/ 2015.04.01/ DETAIL 19 - D21
</t>
    </r>
  </si>
  <si>
    <t xml:space="preserve">Black powder coated aluminium fixed glazed fanlight with 5mm thick clear glass and screws, pop rivots, gasket and wool felt etc.
</t>
  </si>
  <si>
    <t>Badullage1982</t>
  </si>
  <si>
    <t xml:space="preserve">Supplying and wiring 4 x 16mm2  (7/0.064") PVC/PVC/ Cu cable +
16mm2     (7/.064")  earth  wire  complete  to working  order excluding
conduit/casing   
</t>
  </si>
  <si>
    <t>Supply , Installation &amp; wiring of power Socket Outlet, by using  2X1C 1.13mm^2 Cu/PVC /PVC Cable +  1C  7/0.67 mm^2 Earth Cable (in radial circuit) through the ceiling ,  wall / partition up to the point  including  PVC trucking , outlet and other accessories up to the point.</t>
  </si>
  <si>
    <t>Supply &amp; Installation of light Point Wiring, by using 2X1C 1.13mm^2 Cu/PVC /PVC Cable +  1C 7/0.67</t>
  </si>
  <si>
    <t xml:space="preserve">Installation  of -Outdoor Light Fittings - Weatherproof  IP65  rated  wall  mounted  cylindrical  shaped  up  down
ward  light  fitting  of  "Simy"  Brand  &amp;  Model  No:SIYWB3027  or
approved equivalent.(with CFL)      
</t>
  </si>
  <si>
    <t xml:space="preserve">Installation  of - Light Fittings - 2'-0" x 2'-0" Recessed mounted fluorescent lamp fittings with full
parabolic polished aluminium mirror louver and 3 nos of 18W
fluorescent bulbs (T8) of "Simy" Brand &amp; Model No:SIYPL-T8 or
approved equivalent.
</t>
  </si>
  <si>
    <t>8" clear transparent glass globe pendent type light fitting of "Simy"</t>
  </si>
  <si>
    <t>Brand &amp; Model No:SIYWB937 or approved equivalent.(with CFL)</t>
  </si>
  <si>
    <t>Installation  of - Light Fittings Wall LamP ( PC Sum 3000.00 )</t>
  </si>
  <si>
    <t>( Sample to be submit before intalation with specifications for approvals )</t>
  </si>
  <si>
    <t>2'-0" long single fluorescent lamp fitting , suspension - round prismatic diffuser with 1 no of 18W fluorescent bulb (T8) of "Simy" Brand &amp; Model No:SIYBLD120 or approved equivalent.</t>
  </si>
  <si>
    <t>Ceiling fan 56" Sweep (USHA - Atom ) or approved equivalent brand</t>
  </si>
  <si>
    <t xml:space="preserve">Supplying and Installation of earth - Provide an earth electrode 6'-0" long , 2" dia. x 3.6mm thick medium
duty GI pipe.  Rate  shall  include  connection  to the main  panel, sub
main, earth clips&amp; etc. with 1'-0" x 1'-0" x 1'-0" earth pit consist of 4
1/2" brick work , 3" thick Grade 20 concrete cover slab.
</t>
  </si>
  <si>
    <t>Fix Glass - 12mm thick fix tempered glass work , out of 25 x 50mm SS "U" frame  including sand blast sticker film with all necessary  fittings as per the Architect detail drawing.</t>
  </si>
  <si>
    <t>Supplying laying  and/or fixing 1/2" dia. P.V.C. pipes        Type 1000  (Without Specials ).</t>
  </si>
  <si>
    <t>Supplying laying  and/or fixing 3/4" dia. P.V.C. pipes        Type 1000  (Without Specials ).</t>
  </si>
  <si>
    <t>Supplying laying  and/or fixing 1" dia. P.V.C. pipes Type 1000  (Without Specials ).</t>
  </si>
  <si>
    <t>Supplying laying  and/or fixing 1 1/4" dia. P.V.C. pipes Type 1000  (Without Specials ).</t>
  </si>
  <si>
    <t>Supplying laying  and/or fixing 2" dia. P.V.C. pipes Type 1000 (Without Specials ).</t>
  </si>
  <si>
    <t>V01</t>
  </si>
  <si>
    <t>Main Power Distribution Panel ( Ground Floor )</t>
  </si>
  <si>
    <t>Supply ,install and wire the foollowing items in the disdribution board.</t>
  </si>
  <si>
    <t xml:space="preserve"> 63A 4P MCCB with shount coil</t>
  </si>
  <si>
    <t xml:space="preserve">125A 4P Automatic Chainge over </t>
  </si>
  <si>
    <t>40A 4P  MCCB</t>
  </si>
  <si>
    <t xml:space="preserve"> 40A 4P 30mA RCCB</t>
  </si>
  <si>
    <t>40A 2P  MCCB</t>
  </si>
  <si>
    <t xml:space="preserve"> 40A 2P 30mA RCCB</t>
  </si>
  <si>
    <t>02 Set (R,Y,B) LED type phase indicators for Generator and CEB.</t>
  </si>
  <si>
    <t>CT Coil Set</t>
  </si>
  <si>
    <t>63A Busbar Set</t>
  </si>
  <si>
    <t>Cables Lugs and other suppotive meterials1</t>
  </si>
  <si>
    <t xml:space="preserve">Floor Mount type, Powder coated metal Enclosure with front door, metal locks &amp; front cover plate. ( Other required supportive materials should include ) </t>
  </si>
  <si>
    <t>V02</t>
  </si>
  <si>
    <t>SUB DB-GF - 01 Row Power Distribution Ground Floor</t>
  </si>
  <si>
    <t xml:space="preserve"> 40 A 4P MCCB </t>
  </si>
  <si>
    <t xml:space="preserve"> 32A 2P MCCB</t>
  </si>
  <si>
    <t xml:space="preserve"> 6A SP MCB</t>
  </si>
  <si>
    <t>16A SP MCB</t>
  </si>
  <si>
    <t>Bus bars, Cables abd suppotive meterials</t>
  </si>
  <si>
    <t>Labour charges</t>
  </si>
  <si>
    <t xml:space="preserve">Wall Mount surface Type, Powder coated metal Enclosure with front door, metal locks &amp; front cover plate. </t>
  </si>
  <si>
    <t>V03</t>
  </si>
  <si>
    <t>SUB DB-FF - 01 Row Power Distribution First Floor</t>
  </si>
  <si>
    <t>V04</t>
  </si>
  <si>
    <t>SUB DB-SF - 01 Row Power Distribution Second Floor</t>
  </si>
  <si>
    <t>VO1/1</t>
  </si>
  <si>
    <t>VO1/2</t>
  </si>
  <si>
    <t>VO1/3</t>
  </si>
  <si>
    <t>VO1/4</t>
  </si>
  <si>
    <t>VO1/5</t>
  </si>
  <si>
    <t>VO1/6</t>
  </si>
  <si>
    <t>VO1/7</t>
  </si>
  <si>
    <t>VO1/8</t>
  </si>
  <si>
    <t>VO1/9</t>
  </si>
  <si>
    <t>VO1/10</t>
  </si>
  <si>
    <t>VO1/11</t>
  </si>
  <si>
    <t>VO1/12</t>
  </si>
  <si>
    <t>VO1/13</t>
  </si>
  <si>
    <t>VO1/14</t>
  </si>
  <si>
    <t>VO1/15</t>
  </si>
  <si>
    <t>VO 04/1</t>
  </si>
  <si>
    <t>VO 04/2</t>
  </si>
  <si>
    <t>VO 04/3</t>
  </si>
  <si>
    <t>VO 04/4</t>
  </si>
  <si>
    <t>VO 04/5</t>
  </si>
  <si>
    <t>VO 04/6</t>
  </si>
  <si>
    <t>VO 04/7</t>
  </si>
  <si>
    <t>VO 04/8</t>
  </si>
  <si>
    <t>VO 04/9</t>
  </si>
  <si>
    <t>VO 02/01</t>
  </si>
  <si>
    <t>VO 02/02</t>
  </si>
  <si>
    <t>VO 02/03</t>
  </si>
  <si>
    <t>VO 02/04</t>
  </si>
  <si>
    <t>VO 02/05</t>
  </si>
  <si>
    <t>VO 02/06</t>
  </si>
  <si>
    <t>VO 02/07</t>
  </si>
  <si>
    <t>VO 02/08</t>
  </si>
  <si>
    <t>VO 02/09</t>
  </si>
  <si>
    <t>VO 03/1</t>
  </si>
  <si>
    <t>VO 03/2</t>
  </si>
  <si>
    <t>VO 03/3</t>
  </si>
  <si>
    <t>VO 03/4</t>
  </si>
  <si>
    <t>VO 03/5</t>
  </si>
  <si>
    <t>VO 03/6</t>
  </si>
  <si>
    <t>VO 03/7</t>
  </si>
  <si>
    <t>VO 03/8</t>
  </si>
  <si>
    <t>VO 03/9</t>
  </si>
  <si>
    <r>
      <t>Wall Mount surface Type, Powder coated metal Enclosure with front door, metal locks &amp; front cover plate.</t>
    </r>
    <r>
      <rPr>
        <b/>
        <sz val="10"/>
        <color rgb="FFFF0000"/>
        <rFont val="Times New Roman"/>
        <family val="1"/>
      </rPr>
      <t xml:space="preserve"> </t>
    </r>
  </si>
  <si>
    <t>V 19</t>
  </si>
  <si>
    <t xml:space="preserve">Allow for any other  item/Items that may be required but those not given above to full fill the Architectural design (Attached separate list of such items) </t>
  </si>
  <si>
    <t>NO</t>
  </si>
  <si>
    <t>DESCRIPTION</t>
  </si>
  <si>
    <t>NOS</t>
  </si>
  <si>
    <t>LENGTH</t>
  </si>
  <si>
    <t>WIDTH</t>
  </si>
  <si>
    <t>HEIGHT</t>
  </si>
  <si>
    <t>QTY</t>
  </si>
  <si>
    <t>T.QTY</t>
  </si>
  <si>
    <t>UNIT</t>
  </si>
  <si>
    <t>m2</t>
  </si>
  <si>
    <t>m3</t>
  </si>
  <si>
    <t>C2.5</t>
  </si>
  <si>
    <t>In Lift</t>
  </si>
  <si>
    <t>Varandah  floor area</t>
  </si>
  <si>
    <t>Car porch floor  area</t>
  </si>
  <si>
    <t>Lift floor area</t>
  </si>
  <si>
    <t>C3.4</t>
  </si>
  <si>
    <t>D3</t>
  </si>
  <si>
    <t>ground floor</t>
  </si>
  <si>
    <t>first floor</t>
  </si>
  <si>
    <t>second floor</t>
  </si>
  <si>
    <t>SITE PREPERATION</t>
  </si>
  <si>
    <t>EXCAVATION</t>
  </si>
  <si>
    <t>Excavations as follows in any materials met with except in rock requiring blasting.</t>
  </si>
  <si>
    <t>All excavations are measured net. No allowance made for working space.</t>
  </si>
  <si>
    <t>Excavation for foundation commencing from formed ground level.</t>
  </si>
  <si>
    <t>msheet</t>
  </si>
  <si>
    <t>F - MASONRY WORKS</t>
  </si>
  <si>
    <t>Vertical solid walls, 225mm thick.</t>
  </si>
  <si>
    <t>Second Floor</t>
  </si>
  <si>
    <t>Vertical solid walls, 100mm thick.</t>
  </si>
  <si>
    <t>Internal Wet Areas without Exposure to Sunlight Sq.ft. 
(Cementitious water proofing using Barralastic or approved
equivalnt)</t>
  </si>
  <si>
    <t>Ground Floor</t>
  </si>
  <si>
    <t>First Floor</t>
  </si>
  <si>
    <t>1. The rate for plastering items includes the cost of "Febmix"as a
workability enhancer.</t>
  </si>
  <si>
    <t>2. For coarse textured plaster ( identified as "semi-rough") all the
sand should pass through 4.0mm sieve.</t>
  </si>
  <si>
    <t>External Plaster</t>
  </si>
  <si>
    <t>Internal Plaster</t>
  </si>
  <si>
    <t>External revels</t>
  </si>
  <si>
    <t>Internal Revels</t>
  </si>
  <si>
    <t>Wall Tiling (Ceramic)</t>
  </si>
  <si>
    <t>Method of application is accordiong to the manufacturer's method
specifications</t>
  </si>
  <si>
    <t>Internal Emultion Paint</t>
  </si>
  <si>
    <t>Exterior Emultion Paint</t>
  </si>
  <si>
    <t>EXCAVATION &amp; EARTH WORK  CARRIED TO COLLECTION</t>
  </si>
  <si>
    <t xml:space="preserve"> CONCRETE WORK CARRIED TO COLLECTION</t>
  </si>
  <si>
    <t>MASONRY WORKS CARRIED TO COLLECTION</t>
  </si>
  <si>
    <t>J - FLOORING WORK</t>
  </si>
  <si>
    <t>FLOORING WORK CARRIED TO COLLECTION</t>
  </si>
  <si>
    <t>WATER PROOFING WORK CARRIED TO COLLECTION</t>
  </si>
  <si>
    <t>K  -  PLASTERING WORK</t>
  </si>
  <si>
    <t>PLASTERING WORK CARRIED TO COLLECTION</t>
  </si>
  <si>
    <t>L -  TILING WORK</t>
  </si>
  <si>
    <t>TILING WORK CARRIED TO COLLECTION</t>
  </si>
  <si>
    <t>COLOUR WASHING, PAINTING &amp; POLISHING WORK CARRIED TO COLLECTION</t>
  </si>
  <si>
    <t xml:space="preserve"> DOORS &amp; WINDOWS WORK CARRIED TO COLLECTION</t>
  </si>
  <si>
    <t>ROOFING AND CEILING WORK CARRIED TO COLLECTION</t>
  </si>
  <si>
    <t>S  -  PLUMBING AND DRAINAGE WORK</t>
  </si>
  <si>
    <t>PLUMBING AND DRAINAGE WORK  CARRIED TO COLLECTION</t>
  </si>
  <si>
    <t>ELECTRICAL INSTALLATION WORK CARRIED TO COLLECTION</t>
  </si>
  <si>
    <t>METAL WORK  CARRIED TO COLLECTION</t>
  </si>
  <si>
    <t>C - CONCRETE</t>
  </si>
  <si>
    <t>AMOUNT (Rs.)</t>
  </si>
  <si>
    <t>Shuttering for sides of foundation with 15mm thick Plywood board including dismantling</t>
  </si>
  <si>
    <t xml:space="preserve">Volume Batched Grade 20 concrete prepaired at site  for reinforced and unreinforced concrete floors laid on ground.   Rate shall include the cost of curing continously  for 5 days. 
</t>
  </si>
  <si>
    <t>Sqr</t>
  </si>
  <si>
    <t>Clearing site vegetation manually including removal of bushes, shurb removing rubbish up to a distance of 30'-0".</t>
  </si>
  <si>
    <t>Removing top soil machinery to a depth not exceeding 6" and removing all debris away from site</t>
  </si>
  <si>
    <t>Insurance and Securities</t>
  </si>
  <si>
    <t>Allow sum for providing advance payment security</t>
  </si>
  <si>
    <t xml:space="preserve">The minimim insurance.cover shall be: </t>
  </si>
  <si>
    <t xml:space="preserve">The minimum cover for insurance of the Works and Plant and Materials is 110% of the Initial Controct Price. </t>
  </si>
  <si>
    <t xml:space="preserve">The maximum deductible for insurance uf the Works and of Plant and Materials is 5% of the Initial Contract Price. </t>
  </si>
  <si>
    <t>The minimunm cover for loss or damage to Equipment is the replacement cost</t>
  </si>
  <si>
    <t xml:space="preserve"> The maximum deductible for insurance of Equipment is 5% of minimun cover for equipment.</t>
  </si>
  <si>
    <t>The minimum cover for insurance of (orher propert other than the site) is Ra. 2Million per event and totul limit of indemnity shall be Rs 10 Million</t>
  </si>
  <si>
    <t>The mininum cover for insurance of personal injury or death.</t>
  </si>
  <si>
    <t xml:space="preserve">For third party and employees of the Employer and other persons engaged by the Employer in the Works is Rs.5,000,000/- per event </t>
  </si>
  <si>
    <t>Injury or damage to persons including employer and consultant and their employees and other consultants employed by the employer shall be covered by the personnel accident insurance cover for Rs 2 million per event effective from the date of commencement of contract until end of the defects liability period (total number of persons insured are not exceeding 10 nrs)</t>
  </si>
  <si>
    <t>The iminimum cover for personal injury or death</t>
  </si>
  <si>
    <t>For the Contractor's workmen is Rs. 500,000/= per event</t>
  </si>
  <si>
    <t>Engineer's Facilities</t>
  </si>
  <si>
    <t>The follwing facilities shall be provided</t>
  </si>
  <si>
    <t xml:space="preserve">Contractor's Facilities </t>
  </si>
  <si>
    <t>Construction Managment  and Supervision</t>
  </si>
  <si>
    <t>Allow sum for employing suitable qualified and axperienced technical personnal on full time for construction maragement services at the site.</t>
  </si>
  <si>
    <t xml:space="preserve">Setting Out </t>
  </si>
  <si>
    <t xml:space="preserve">Quality, Standards and Progress </t>
  </si>
  <si>
    <t xml:space="preserve">Health Safety and Environment </t>
  </si>
  <si>
    <t xml:space="preserve">Allow lump sum for maintaining the site in a clean and orderly manner at all times and during the entire contract period.
</t>
  </si>
  <si>
    <t>Services and Facilities</t>
  </si>
  <si>
    <t>Allow lump sum for supply of water for the Works and paying all charges and other expenses in connection with the supply from water mains or any other alternative method of water supply, storage and reticulation</t>
  </si>
  <si>
    <t>Allow lump sum for supplying temporary electricity for the works including connection, distribution system for the Works, internal arrangements and all payments to be authorities for consumption</t>
  </si>
  <si>
    <t>Hand Rail</t>
  </si>
  <si>
    <t>Aluminium Panel Ceiling</t>
  </si>
  <si>
    <t>BILL NO. 03</t>
  </si>
  <si>
    <t>Allow Sum for insurance of Works, Machinery &amp; Equipment, Plant, Materials, Third party persons &amp; property and Eimployer's personal &amp; property at site per the Contract</t>
  </si>
  <si>
    <t>Allow Sum for insurance against accidents and injury to Contractor's personnel as per the Contract.</t>
  </si>
  <si>
    <t>4" thick cement sand Cellular block wall (blocks confirming to S.L.S.855 and subject to the approval of sample blocks) in cement and sand mortar in 1:5  Ground floor</t>
  </si>
  <si>
    <t>Random rubble (6"-9") masonry in  cement mortar 1:5 in wall foundation.</t>
  </si>
  <si>
    <t>cemnt</t>
  </si>
  <si>
    <t xml:space="preserve">sand </t>
  </si>
  <si>
    <t>metal</t>
  </si>
  <si>
    <t>Earth Work Supports</t>
  </si>
  <si>
    <t xml:space="preserve">Cement concrete 1:3:6 (1") laid to a thickness of 2" in wall foundations, under column/stair footings, including placing in position,compacting and curing.
</t>
  </si>
  <si>
    <t>In - Situ Reinforced Concrete Of Grade 25 &amp;30 (mixed at site with a concrete mixer )</t>
  </si>
  <si>
    <t>GROUND FLOOR</t>
  </si>
  <si>
    <t>W1</t>
  </si>
  <si>
    <t>C3.5</t>
  </si>
  <si>
    <t>C3.5.1</t>
  </si>
  <si>
    <t>C3.5.2</t>
  </si>
  <si>
    <t>C3.5.3</t>
  </si>
  <si>
    <t xml:space="preserve">Plastering 5/8" thick to walls in cement and sand 1:5 finished semi-rough.
</t>
  </si>
  <si>
    <t xml:space="preserve">Plastering 5/8" thick to reveals in ground floor width not exceeding 6" in cement and sand 1:5 finished semi-rough. Rate includes cost of "Febmix"as a workability enhancer. 
</t>
  </si>
  <si>
    <t xml:space="preserve">Plastering 5/8" thick to walls in cement and sand 1:5 finished smooth with two coats of skim coat.
</t>
  </si>
  <si>
    <t>Plastering 5/8" thick to reveals in ground floor width not exceeding 6" in cement andsand 1:5 finished smooth with two coats of skim coat in ground floor.Rate includes cost of "Febmix"as a workability enhancer.</t>
  </si>
  <si>
    <t xml:space="preserve">Painting walls with two coats of emulsion paint including preparing surface.
</t>
  </si>
  <si>
    <t xml:space="preserve">Painting soffit with two coats of emulsion paint including preparing surface.
</t>
  </si>
  <si>
    <t>Painting walls,slab with one coat of Exterior wall primer including preparing surface for exterior application before applicatin of emulsion paint.</t>
  </si>
  <si>
    <t xml:space="preserve">Painting  slab,walls  with  two  coats  of  weathershield  paint  including preparing surface.
</t>
  </si>
  <si>
    <t>In Lift base and lift wall</t>
  </si>
  <si>
    <t xml:space="preserve">In staircases </t>
  </si>
  <si>
    <t>3/4" thick D.P.C. in cement sand 1:3 finished with 2 coats of D.P.C. tar and blinded with sand.</t>
  </si>
  <si>
    <t>Gauge 750 polythene damp proof membrane with 6" laps laid under floors.</t>
  </si>
  <si>
    <t xml:space="preserve">Rendering 1/2" thick in cement sand 1:3 finished smooth with cement slurry without colour pigment and expansion joints filled with construction expansion joint sealent including the cost for cleaning the joints prior application of construction expansion joint sealent by M/s Bitumix or approved equivalent.
</t>
  </si>
  <si>
    <t>Application of cementitious water proofing using Barralastic or approved equivalnt for internal wet areas such as toilet floors and walls where the surfaces are not directly exposed to sunlight and weathering. Rate shall include for cleaning the substrate and all other work as per manufacturer's specifications on application and shall include ponding test for a 300mm water height kept for a period of 48 hours for horizontal surfaces.</t>
  </si>
  <si>
    <t>H -MISCELLANEOUS WORK</t>
  </si>
  <si>
    <t>MISCELLANEOUS WORK CARRIED TO COLLECTION</t>
  </si>
  <si>
    <t>All materials, equipments, wiring and workmanship shall confirm to local codes of specifications, B.S Standards, latest I.E.E regulations (18th Edition) and Ceylon Electricity Board specifications. Contractor shall investigate the site conditions before submitting their quote.</t>
  </si>
  <si>
    <t>Cu/PVC/PVC cables shall confirm to BS 6346</t>
  </si>
  <si>
    <t>Cu/XLPE/PVC cables shall confirm to BS 5467</t>
  </si>
  <si>
    <t>Contractor shall obtain sample approvals for all the items used before fixing,  from the Consultant.</t>
  </si>
  <si>
    <t>Contractor shall propose shop drawings/conduit lay out drawings and obtained approval from the Consultant, before commencing Installation.</t>
  </si>
  <si>
    <t>All electrical fittings ,cables ,circuit breakers and accessories etc from manufacturer / agent , not from Sunday market.</t>
  </si>
  <si>
    <t>Original printed catalogues shall be submitted.</t>
  </si>
  <si>
    <t>Warranties for electrical and electronics items shall be submitted.</t>
  </si>
  <si>
    <t>The Rate shall include  for supply, installation, commissioning &amp; comprehensive maintenance during the defect liability period of one year.</t>
  </si>
  <si>
    <t>The rate shall include insuarance during handling , transporting , storing &amp; installation until handover.</t>
  </si>
  <si>
    <t xml:space="preserve">The rate shall include for all temerory works such as scaffolding and temporary electricity supply etc. </t>
  </si>
  <si>
    <t>Payments shall be on measure and pay basis</t>
  </si>
  <si>
    <t>Submittal of As Built drawings</t>
  </si>
  <si>
    <t>V01.01</t>
  </si>
  <si>
    <t>Inspection and testing</t>
  </si>
  <si>
    <t>V01.02</t>
  </si>
  <si>
    <t>Submittal of As Built drawings c/w set of AutoCAD drawings in a CD and three hard copies size in A1 sheet and submittal of 3 sets of document files all the items listed in this BOQ. Eg: Product broachers for MCCB , MCB, Lightd, Fans,Socket outlets , cables, Medical grade isolation transformers etc.</t>
  </si>
  <si>
    <t>Main Cabling System</t>
  </si>
  <si>
    <t xml:space="preserve">All the Cables quoted below shall be on measure and pay basis. </t>
  </si>
  <si>
    <t>Rates should include for all necessary cable accessories such as cable ties, Cable Lugs, Glands, identification tags, and all accessories for complete installation</t>
  </si>
  <si>
    <t>Rate shall include for supply and installation of following cables including cable trays, ladders and trunking, conduits,Underground Installments incuding sand beddings ,concrete tiles warning tapes etc. including termination.</t>
  </si>
  <si>
    <t xml:space="preserve"> All horizontal and vertical Cable trays , trunking , conduits &amp; ladders should be adequately sized to provide 25% spare space. Installation method shall be according to BS 7671</t>
  </si>
  <si>
    <t>Contractor shall investigate the site conditions and include all the cost involved in point rates given below.</t>
  </si>
  <si>
    <t>All wiring shall be in securely fixed conduits /trunkig above the ceiling</t>
  </si>
  <si>
    <t xml:space="preserve">Main cables for sub distribution boards of each floor shall be tapped from the bus bar riser </t>
  </si>
  <si>
    <t>V02.01</t>
  </si>
  <si>
    <t>All the Distribution Boards shall be surface/flush mounted type Distribution Boards complete with powder coated steel enclosure with lockable doors.</t>
  </si>
  <si>
    <t xml:space="preserve">The panel board should have wire numbering and a laminated circuit diagram  pasted on the inside surface of the door. </t>
  </si>
  <si>
    <t>MDB</t>
  </si>
  <si>
    <t>Make of MCCBs and MCBs, etc shall be Schnider / ABB / Terasaki or equivalent make, approved by the Consultant.</t>
  </si>
  <si>
    <t>Manufactures shop drawings should be submitted and approved by the Consultant before fabrication</t>
  </si>
  <si>
    <t>Main Distribution Board and SUB Distribution Boards and Isolators</t>
  </si>
  <si>
    <t>V03.01</t>
  </si>
  <si>
    <t>1 set of LED Phase indicator lamps c/w 3 x 2A fuse</t>
  </si>
  <si>
    <t>V03.02</t>
  </si>
  <si>
    <r>
      <t>01 No. 4P 63A MCCB (</t>
    </r>
    <r>
      <rPr>
        <sz val="8"/>
        <rFont val="Arial"/>
        <family val="2"/>
      </rPr>
      <t>16kA Breaking capacity</t>
    </r>
    <r>
      <rPr>
        <sz val="10"/>
        <rFont val="Arial"/>
        <family val="2"/>
      </rPr>
      <t>), 01 No. 4P 40A MCCB (16kA Breaking capacity),01 No. 2P 32A, MCB (16kA Breaking capacity),02 Nos. 1P 10A MCB (6kA Breaking capacity),02 Nos. 1P 20A MCB (6kA Breaking capacity),01 No. 2P 40A, 30mA RCCB, and nessasary bus bar and protective system and Cables Lugs and other suppotive meterials1</t>
    </r>
  </si>
  <si>
    <t>02 Nos 4P 63A  MCCB  /(10kA), 04 Nos  2P 32A  MCB  /(10kA),01  Nos 125A 4P Automatic Chainge over,01 Nos 40A 4P  MCCB, 07 Nos 40A 4P  MCCB, 07 Nos  40A 4P 30mA RCCB, 01 Nos  40A 2P 30mA RCCB,and nessasary bus bar and protective system and Cables Lugs and other suppotive meterials</t>
  </si>
  <si>
    <t>Wiring for light points, ceiling fans, socket outlets</t>
  </si>
  <si>
    <t>Rate for point wiring shall include for all the cables trays/ladders,conduits, conduit fittings, casings,surface cable trunks, fixing material, switches, wiring and terminations, holders for light fittings and socket outlets for power points. Contractor shall obtain approvals from the Consultant/CEE for above items</t>
  </si>
  <si>
    <t>As a standard of quality for switches and socket outlets, the contractor may use 'ML/Legrand /ACL or approved equal'.</t>
  </si>
  <si>
    <t>V04.01</t>
  </si>
  <si>
    <t>Testing of the electrical installation and submission of certificate from a chartered Electrical Engineer registered at CEB.</t>
  </si>
  <si>
    <t>V04.02</t>
  </si>
  <si>
    <t>V04.03</t>
  </si>
  <si>
    <t>Switch Socket Wiring</t>
  </si>
  <si>
    <t>V04.04</t>
  </si>
  <si>
    <t>V04.05</t>
  </si>
  <si>
    <t>V04.06</t>
  </si>
  <si>
    <t xml:space="preserve">Supplying and wiring 4 x 16mm2  (7/0.064") PVC/PVC/ Cu cable + 16mm2     (7/.064")  earth  wire  complete  to working  order excluding
conduit/casing   
</t>
  </si>
  <si>
    <t>Fan Regulator</t>
  </si>
  <si>
    <t>V04.07</t>
  </si>
  <si>
    <t>Fan regulator wired without a switch using 2x1/1.13 mm P.V.C. insulated copper wire &amp; 1x7/0.67mm P.V.C. insulated copper earth wire in fully concealed/surface P.V.C. conduits. Ground Floor</t>
  </si>
  <si>
    <t>V04.08</t>
  </si>
  <si>
    <t>V04.09</t>
  </si>
  <si>
    <t>Fan regulator wired without a switch using 2x1/1.13 mm P.V.C. insulated copper wire &amp; 1x7/0.67mm P.V.C. insulated copper earth wire in fully concealed/surface P.V.C. conduits. First Floor</t>
  </si>
  <si>
    <t>cost of wiring, regulator, fan hook &amp; other accessories. For regulator shall be a three star
energy.</t>
  </si>
  <si>
    <t>Fan regulator wired with a switch using 2x1/1.13 mm P.V.C. insulated copper wire &amp; 1x7/0.67mm P.V.C. insulated copper earth wire in fully concealed/surface P.V.C. conduits. second Floor</t>
  </si>
  <si>
    <t>Telephone Socket wired with a switch complete with accessories fixed on solid/partition wall in ground floor</t>
  </si>
  <si>
    <t>Telephone Socket Wiring ( Direct &amp; intercom)</t>
  </si>
  <si>
    <t>V04.10</t>
  </si>
  <si>
    <t>V04.11</t>
  </si>
  <si>
    <t>V04.12</t>
  </si>
  <si>
    <t>Telephone Socket wired with a switch complete with accessories fixed on solid/partition wall in first floor</t>
  </si>
  <si>
    <t>Telephone Socket wired with a switch complete with accessories fixed on solid/partition wall in second floor</t>
  </si>
  <si>
    <t>Data Socket Wiring</t>
  </si>
  <si>
    <t>V04.13</t>
  </si>
  <si>
    <t>Data Socket wired with a switch complete with accessories fixed on solid/partition wall in ground floor</t>
  </si>
  <si>
    <t>V04.14</t>
  </si>
  <si>
    <t>V04.15</t>
  </si>
  <si>
    <t>Data Socket wired with a switch complete with accessories fixed on solid/partition wall in first floor</t>
  </si>
  <si>
    <t>Data Socket wired with a switch complete with accessories fixed on solid/partition wall in second floor</t>
  </si>
  <si>
    <t>Light fittings / Fans</t>
  </si>
  <si>
    <t>The light fittings supplied and installed under this contract shall be in every respect suitable for the intended purpose.</t>
  </si>
  <si>
    <t>Each fitting shall include bulbs, internal wiring, hanging and fixing material and be complete without any additional item/material being required to make it so.</t>
  </si>
  <si>
    <t>The contractor shall obtain consultants and clients approval for the fittings before fixing the fittings in the site</t>
  </si>
  <si>
    <t>As a standard of quality for Light fittings, the contractor may use 'Philips/Osram or approved equal'.</t>
  </si>
  <si>
    <r>
      <t>Rate for items shall include the cost of adapter,connecting 2core 1mm</t>
    </r>
    <r>
      <rPr>
        <b/>
        <vertAlign val="superscript"/>
        <sz val="11"/>
        <rFont val="Times New Roman"/>
        <family val="1"/>
      </rPr>
      <t>2</t>
    </r>
  </si>
  <si>
    <t>Lamp fitting shall include the cost of fitting and bulb &amp; shall be given a two year Warranty and one year warranty for bulb</t>
  </si>
  <si>
    <t>Lamp fitting with given a two year Warranty for fitting</t>
  </si>
  <si>
    <t>V05</t>
  </si>
  <si>
    <t>Dimmer type fan regulator with a switch (Orange or equivalent)</t>
  </si>
  <si>
    <t>V05.01</t>
  </si>
  <si>
    <t>Ceiling Fan</t>
  </si>
  <si>
    <t>V05.02</t>
  </si>
  <si>
    <t>Ceiling fan of 56" Sweep KDK- brand ( M56RG-model) with Air flow rate of 225 cu.m /min @ RPM 270 with tolarance as per SLS 814 and two
star energy label as PER SLS 1600 in ground Floor</t>
  </si>
  <si>
    <t>V05.03</t>
  </si>
  <si>
    <t>V05.04</t>
  </si>
  <si>
    <t>Ceiling fan of 56" Sweep KDK- brand ( M56RG-model) with Air flow rate of 225 cu.m /min @ RPM 270 with tolarance as per SLS 814 and two
star energy label as PER SLS 1600 in second Floor</t>
  </si>
  <si>
    <t>V06</t>
  </si>
  <si>
    <t xml:space="preserve">Item </t>
  </si>
  <si>
    <t>V06.01</t>
  </si>
  <si>
    <t>V06.02</t>
  </si>
  <si>
    <t>Ramp at entrance</t>
  </si>
  <si>
    <t>Work shall be done in accordance with specifications for electrical and mechanical works - ICTAD Publication No.SCA/8 of Aug.2000(2nd Edition -Revised)</t>
  </si>
  <si>
    <t>All switches and socket outlets shall be plated type make"Clipsal", " Orange X5", "Krypton" or any other approved equivalent complying to SLS1000:1993 for switches &amp; SLS 1998 : 1991 for soket outlets .</t>
  </si>
  <si>
    <t>Rate to include switch boxes, Rowl plugs, square pin plug base, Chromium plated M.S. chains, brass hooks, ceiling roses, holders and any other item necessary.</t>
  </si>
  <si>
    <t>All distribution boards should be incorporated with multi 9, Orange Industrial, Merlin Gerin, , Hager, LS, Moeller/EATON, clipsal,SIEMENS make MCB's (Miniature circuit Breaker ) and cabtree, Clipsal ,Orange Industrial 10 kA, LS , Merlin Gerin,Schinieider make R.C.C.B.'s (Residual Current circuit Breaker) and Schinieider, Merlin Gerin, LS, Dormans Smith ,Orange Industrial (10K), Biticano , Clockner moeller make M.C.C.B.'s (Moulded Case Circuit Breakers)</t>
  </si>
  <si>
    <t>The whole installation shall be carried out according to CEB/IEE wiring regulations.</t>
  </si>
  <si>
    <t>All the M.C.C.B.'s, MCB's and RCCB's for the distribution boards should be purchased from the following authorized agents or from heir dealers and a certificate or invoice along with their Company seal and Part No., numbers and warranty should be produced at the time of payment.</t>
  </si>
  <si>
    <t>a).  All MCB, RCCB, shall have 20 Years warranty and hence products which comes with 20 years warranty are permitted.</t>
  </si>
  <si>
    <t>b).  All MCCB shall have 2 Years warranty and hence products which comes with 2 years warranty are permitted.</t>
  </si>
  <si>
    <t>e).  All socket and switches shall have 20 Years warranty and hence products which comes with 20 years warranty are permitted.</t>
  </si>
  <si>
    <t>Point wiring only with and including switches (Rate includes wiring from MCB through switch to lamp point and includes the switch, switch box, lamp holder wire and conduit)</t>
  </si>
  <si>
    <t>Point wiring only with and including Socket (Rate includes wiring from MCB to the Socket, socket box, and conduit)</t>
  </si>
  <si>
    <t>Light Fittings</t>
  </si>
  <si>
    <t>S - SANITARY FITTINGS</t>
  </si>
  <si>
    <t>Supply and fix Chromium plated 1/2" dia. angle valve of "Rocell" brand . model or approved equivalent. (Prime cost of the Chromium plated 1/2" dia. angle valve is Rs. 1231.00)</t>
  </si>
  <si>
    <t>Supply and fix Chromium plated 1 1/4" chromium plated waste outlet of  "Rocell" brand or approved equivalent. (Prime cost of the Chromium plated 1 1/4" chromium plated waste outlet is Rs. 1935.00)</t>
  </si>
  <si>
    <t>Supply and fix 5mm thick mirror of size 18" x 24" double coated with pencil edge back strecher. (Prime cost of the 5mm thick mirror of size 18" x 24" is Rs. 3700.00)</t>
  </si>
  <si>
    <t>S 14</t>
  </si>
  <si>
    <t>Bathroom Accessories</t>
  </si>
  <si>
    <t>S 15</t>
  </si>
  <si>
    <t>S 17</t>
  </si>
  <si>
    <t>Supply and fix Chromium plated bathroom floor gully cover square type  of "Lanka Tiles Coloma " brand or approved equivalent. (Prime cost of the Chromium plated bathroom floor gully cover square type is Rs.
1950.00)</t>
  </si>
  <si>
    <t>S 18</t>
  </si>
  <si>
    <t>S 19</t>
  </si>
  <si>
    <t>S 20</t>
  </si>
  <si>
    <t>S 21</t>
  </si>
  <si>
    <t>S 22</t>
  </si>
  <si>
    <t>S 23</t>
  </si>
  <si>
    <t>S 24</t>
  </si>
  <si>
    <t>P.V.C. Pipes</t>
  </si>
  <si>
    <t>S 25</t>
  </si>
  <si>
    <t xml:space="preserve">L.ft. </t>
  </si>
  <si>
    <t>waste pipe</t>
  </si>
  <si>
    <t>Supplying and laying 4" dia.uPVC sewer pipe - PNT7 (type 600) . Excavation, Bedding, Haunching &amp;Surrounding to be paid separately. Detais of Bedding, Haunching or surrounding are given by the Divisional Engineer as per the location.</t>
  </si>
  <si>
    <t xml:space="preserve">Supplying laying and/or fixing 1/2" dia. uPVC pipe - PNT14 (Type 1000) </t>
  </si>
  <si>
    <t xml:space="preserve">Supplying laying and/or fixing 3/4" dia. uPVC pipe - PNT11 (Type 1000)  </t>
  </si>
  <si>
    <t xml:space="preserve">Supplying laying and/or fixing 1" dia. uPVC pipe - PNT11 (Type 1000) </t>
  </si>
  <si>
    <t xml:space="preserve">Supplying laying and/or fixing 1 1/4" dia. uPVC pipe - PNT11 (Type 1000) </t>
  </si>
  <si>
    <t xml:space="preserve">Supplying laying and/or fixing 1 1/2" dia. uPVC pipe - PNT11 (Type 1000) </t>
  </si>
  <si>
    <t>Supplying laying and/or fixing 2" dia. uPVC pipe - PNT11 (Type 1000)  ).</t>
  </si>
  <si>
    <t xml:space="preserve">Supplying and Fixing 1 1/4" dia uPVC waste pipe - PNT7 (Type 600) </t>
  </si>
  <si>
    <t>Supplying and fixing 1 1/2" dia uPVC waste pipe - PNT7 (Type 600)</t>
  </si>
  <si>
    <t xml:space="preserve">Supplying and fixing 2" dia. uPVC waste pipe - PNT7 (Type 600) </t>
  </si>
  <si>
    <t>All P.V.C. pipes should confirm to S.L.S. 147. The fittings should be of the same brand as pipes.Ratt to include to specials</t>
  </si>
  <si>
    <t>Supplying and laying 4" dia. uPVC perforated pipe- PNT7 (type 600) with  10mm dia. Holes @ 3" c/c as per details. Necessary excavation &amp; rubble packing to be paid separately.</t>
  </si>
  <si>
    <t>Waste Water Manhole - Concrete</t>
  </si>
  <si>
    <t xml:space="preserve">Soakage Pits </t>
  </si>
  <si>
    <t>Water tank should combined with three layers of high density polyethylene except 5000 Ltr. Water tank.</t>
  </si>
  <si>
    <t>The inner and outer layers made of 100% FDA approved virgin raw materials , ensuring non-contamination.</t>
  </si>
  <si>
    <t>Contractor should submit the purchasing bill and the required warranty for water tanks (10 year warranty) manufactured by "Anton , Arpico" to the Divisional Engineer.</t>
  </si>
  <si>
    <t>Rate ( Rs.)</t>
  </si>
  <si>
    <t>Amount ( Rs.)</t>
  </si>
  <si>
    <t>RATE</t>
  </si>
  <si>
    <t>Notes:</t>
  </si>
  <si>
    <t>in this Bill and with accordance to Drawings, Specifications</t>
  </si>
  <si>
    <t>and to the approval of the Engineer.</t>
  </si>
  <si>
    <t>Contractor shall carry out and complete the Works described</t>
  </si>
  <si>
    <t>All steel used in the work shall comply with the relevent british standerds and to the specifications</t>
  </si>
  <si>
    <t>All steel shall be new and each, member shall be free from any built weld or other forms of splice for the full strength between joints shown in or indicated in the drawings unless such spelice shall have been shown in the approved drawings</t>
  </si>
  <si>
    <t>the bidder shall submit the specification for the steel which he proposed to use and obtain prior approval from the engineer before commencemnt of ordering of steel and fabrications</t>
  </si>
  <si>
    <t>Drawings</t>
  </si>
  <si>
    <t>Before any steel work is fabricated the contractor shall obtain the engineers approval of the proposed details of fabrications. For this purpose, two copies of each drawings shall be submitted to the engineer not less than 14 days before commencemnt of fabrication</t>
  </si>
  <si>
    <t>Inspections</t>
  </si>
  <si>
    <t>All steel works shall be subjected for inspection by the engineer, The steel works shall not be moved from the place of fabrication not primer or painted untill the approval of the engineer has been obtained for the fabriction of steel work</t>
  </si>
  <si>
    <t>Welding</t>
  </si>
  <si>
    <t>No welding shall be done untill approval of the prepared syrface has been obtained, All welding shall be carried out under the supervsion of qualified persons</t>
  </si>
  <si>
    <t>base plate, Sole Plate, gussete plate, Spelice etc, have not been measured separatly but the weights of such attachemnts have been included in weights of respective items indicatded in item description</t>
  </si>
  <si>
    <t>refer drawings for fabrication and fixing details of trusses, purlin etc</t>
  </si>
  <si>
    <t>Rate shall include for all necessary cuttings, drillings, bolting reverting, welding, grinding, delering, unloading, hoisting, erecting and fixing in position  levelling, plumbing and submission and getting approval of all shop drwings</t>
  </si>
  <si>
    <t>Product Certification</t>
  </si>
  <si>
    <t>Submit test reports of comprehensive test performed by a qualified independent reputed testing agency certifying that the product complies with the requried specification and specified performance reurements.</t>
  </si>
  <si>
    <t>Mill certificte from the roofing plain coil manufacture</t>
  </si>
  <si>
    <t>In addition to the above, locally availble tests (AZ coating, total thickness of the sheet coating thickness etc ) shall be carried out by a recognized independent testing body such a ITI or university of moratuwa with samples randomly selected from delivery batch.</t>
  </si>
  <si>
    <t>Warranties</t>
  </si>
  <si>
    <t>The contractor shall provide warranty jointly and severally liable by the contractor and manufacture for performance requrements of materils, manufacturing defects and workmanship for periods as stated below from the date of emplyoers taking of the work or section.</t>
  </si>
  <si>
    <t>a) Against corrosion perforation - 10 yrs</t>
  </si>
  <si>
    <t>b) Against flake and peel -10 yrs</t>
  </si>
  <si>
    <t>c) Aginst excessive colour fading and chalking - 10 yrs</t>
  </si>
  <si>
    <t>nr</t>
  </si>
  <si>
    <t>Timber :</t>
  </si>
  <si>
    <t>3. Glass thickness to be 5mm.</t>
  </si>
  <si>
    <t>2 All timber for doors &amp; windows should be well drying subjected to pressure impregnation treatment using chemical of copper sulphate pentahydrate, Sodium dichromate dihydrate and Boric acid to reduce the moisture level up to 8%- 10% ( Final moisture level should be maintain 12% to 15% after Stabilize with the Environment.)</t>
  </si>
  <si>
    <t>4. Following Brass or stainless steel furniture are recommended for timber Doors/ Windows/ Fan lights. Rate with out following heavy duty brass furniture.</t>
  </si>
  <si>
    <t>(b)Doors :- 2 no. 6" Solid brass barrel bolts</t>
  </si>
  <si>
    <t>(c)Windows of 4'-0" height :- 2 no. 4"x 2" Solid brass hinges</t>
  </si>
  <si>
    <t>(d)Windows above 4'-0" height :- 3 no. 4"x 2" Solid brass hinges</t>
  </si>
  <si>
    <t>(e)Windows :- 1 no. 2" Solid brass ring</t>
  </si>
  <si>
    <t>(f)Windows :- 1 no. 10" Solid brass Casement Stay</t>
  </si>
  <si>
    <t>(g)Windows :- 1 no. Solid brass Casement Fastener</t>
  </si>
  <si>
    <t>P - IRON MONGARY</t>
  </si>
  <si>
    <t>All Iron mongary shall be heavy duty and samples should be
approved by the D.E. Prior to installation.</t>
  </si>
  <si>
    <t>1. In view of the variety of door locks available in the market, it has become necessary to prescribe the exact quality requirements in terms of performance and durability aspects. The "Union" brand and respective model numbers have been chosen as a bench mark to establish the said requirements.</t>
  </si>
  <si>
    <t>2. The brand name and model number appearing in the respective BSR items are purely meant to describe the performance standard of the said fitting/item and does not imply in any manner that only the "Union" brand is recommended or considered to be restricted to the "Union" brand.</t>
  </si>
  <si>
    <t>Any other make/brand that has equivalent performance
characteristics are considered as equivalent provided such fittings
met with following criteria.</t>
  </si>
  <si>
    <t>(a) has an authorized local agent in Sri Lanka</t>
  </si>
  <si>
    <t>(b) The local agent has been in the trade of the offered make for not less than 5 years.</t>
  </si>
  <si>
    <t>(c) The fittings are manufactured in conformity to BS, JIS, ASTM, AS or SLS standards.</t>
  </si>
  <si>
    <t>(d) The dimensions and performance characteristics are in par with the stated model.</t>
  </si>
  <si>
    <t>The brands that may be considered as equivalent are "Miva" of
Japan "Whitco" of Australian make or "Dorma" of European make or any other approved make which prior approval to be obtained from Deputy Chief Secretary(Engineering), Director(Building) or
Director(Engineering) after producing necessary catalogues and
documents.</t>
  </si>
  <si>
    <t xml:space="preserve">Nr. </t>
  </si>
  <si>
    <t>Water Based Application</t>
  </si>
  <si>
    <t>All water base products are none toxic and conform to EN 71
standards.</t>
  </si>
  <si>
    <t>Preparing and application two coats of water based stain and two coats of  water based top coat to new wood work. Rate shall include for preparing the surface and sanding with sand paper 80, 120, 180 and 320 or 400 . (Prime cost of "JAT - Sayerlack Brand" is water base stain - 4 L is Rs.8916.00.00 &amp; water base top coat - 5L is Rs.16887.00 with 5 year product warranty) for D6</t>
  </si>
  <si>
    <t>Supplying and fixing 8" long heavy duty solid brass tower bolt for D6 inclusive  of brass screws marketed by M.M.Noorbhoy &amp; company or approved equivalent.</t>
  </si>
  <si>
    <t>Supplying and fixing 5" x 3" x 3mm thick solid brass hinges for D6 inclusive of  brass screws marketed by M.M.Noorbhoy &amp; company or approved equivalent.</t>
  </si>
  <si>
    <t>All distribution boards should be incorporated with multi 9, Orange Industrial, Merlin Gerin, , Hager, LS, Moeller/EATON, clipsal, SIEMENS make MCB's (Miniature circuit Breaker ) and cabtree, Clipsal ,Orange Industrial 10 kA, LS , Merlin Gerin,Schinieider make R.C.C.B.'s (Residual Current circuit Breaker) and Schinieider, Merlin Gerin, LS, Dormans Smith ,Orange Industrial (10K), Biticano , Clockner moeller make M.C.C.B.'s (Moulded Case Circuit Breakers)</t>
  </si>
  <si>
    <t>All the M.C.C.B.'s, MCB's and RCCB's for the distribution boards should be purchased from the following authorized agents or from their dealers and a certificate or invoice along with their Company seal and Part No., numbers and warranty should be produced at the time of payment.</t>
  </si>
  <si>
    <t>a). All MCB, RCCB, shall have 20 Years warranty and hence products which comes with 20 years warranty are permitted.</t>
  </si>
  <si>
    <t>b). All MCCB shall have 2 Years warranty and hence products which comes with 2 years warranty are permitted.</t>
  </si>
  <si>
    <t>e). All socket and switches shall have 20 Years warranty and hence products which comes with 20 years warranty are permitted.</t>
  </si>
  <si>
    <t>All Lighting Fittings shall have 2 Years warranty including bulb and hence products which comes with 2 Years warranty are permitted.</t>
  </si>
  <si>
    <t>The height of the light bracket from floor level is 2.5m.</t>
  </si>
  <si>
    <t>Height of the switches from floor level is 1.5m.</t>
  </si>
  <si>
    <t>No ceiling fan should be installed at a height of less than 2.7m from floor level.</t>
  </si>
  <si>
    <t>The distance of a light source from the wall should be equal to one half the distance between two adjacent light sources and also the distance between light fittings should not exceed 1.5 times the Mounting height.</t>
  </si>
  <si>
    <t>Point Wiring With Earthwire.</t>
  </si>
  <si>
    <t>Light point wired through a 10Amp two gang one way plate switch using  2x1/1.13mm(2x1/.044) P.V.C. insulated copper wire &amp; 1x7/0.67mm P.V.C. insulated copper earth wire in fully concealed/surface P.V.C.
conduits. (For a switch circuit)</t>
  </si>
  <si>
    <t xml:space="preserve">Light point wired through a 10Amp one gang one way plate switch using  2x1/1.13mm(2x1/.044) P.V.C. insulated copper wire &amp; 1x7/0.67mm P.V.C. insulated copper earth wire in fully concealed/surface P.V.C.
conduits. (For a switch circuit) </t>
  </si>
  <si>
    <t xml:space="preserve">Light point wired through a 10 Amp three gang one way plate switch   using 2x1/1.13mm(2x1/.044) P.V.C. insulated copper wire &amp; 1x7/0.67mm
P.V.C. insulated copper earth wire in fully concealed/surface P.V.C. conduits. (For a switch circuit) </t>
  </si>
  <si>
    <t>FIRST FLOOR</t>
  </si>
  <si>
    <t>SECOND FLOOR</t>
  </si>
  <si>
    <t>Supply , Installation &amp; wiring of power Socket Outlet Flush mounted 13 Amp switch socket outlet wired using   2x7/0.67(2x7/.029) insulated copper wire &amp; 1x7/0.67(7/.029) copper earth wire in fully concealed/surface P.V.C. conduits (in radial circuit) through the ceiling ,  wall / partition up to the point  including  PVC trucking , outlet and other accessories up to the point in ground floor</t>
  </si>
  <si>
    <t>Supply , Installation &amp; wiring of power Socket Outlet Flush mounted 13 Amp switch socket outlet wired using   2x7/0.67(2x7/.029) insulated copper wire &amp; 1x7/0.67(7/.029) copper earth wire in fully concealed/surface P.V.C. conduits (in radial circuit) through the ceiling ,  wall / partition up to the point  including  PVC trucking , outlet and other accessories up to the point in second floor</t>
  </si>
  <si>
    <t>Supply , Installation &amp; wiring of power Socket Outlet Flush mounted 13 Amp switch socket outlet wired using   2x7/0.67(2x7/.029) insulated copper wire &amp; 1x7/0.67(7/.029) copper earth wire in fully concealed/surface P.V.C. conduits (in radial circuit) through the ceiling ,  wall / partition up to the point  including  PVC trucking , outlet and other accessories up to the point in first floor</t>
  </si>
  <si>
    <t>Wall mounted fan - (K.D.K. or approved equivalent ) 12960 in ground Floor</t>
  </si>
  <si>
    <t>V05.05</t>
  </si>
  <si>
    <t>V05.06</t>
  </si>
  <si>
    <t>Lamp fitting with given a two year Warranty for fitting .</t>
  </si>
  <si>
    <t>Light point wired through a 10 Amp one gang two way plate switch using  2x1/1.13mm(2x1/.044) P.V.C. insulated copper wire &amp; 1x7/0.67mm P.V.C. insulated copper earth wire in fully concealed/surface P.V.C.
conduits. (For a switch circuit)</t>
  </si>
  <si>
    <t xml:space="preserve">Light point wired through a 10Amp one gang one way plate switch using 2x1/1.13mm(2x1/.044) P.V.C. insulated copper wire &amp; 1x7/0.67mm P.V.C. insulated copper earth wire in fully concealed/surface P.V.C.
conduits. (For a switch circuit) </t>
  </si>
  <si>
    <t>V04.16</t>
  </si>
  <si>
    <t>V04.17</t>
  </si>
  <si>
    <t>V04.18</t>
  </si>
  <si>
    <t>Inner diameter of 4" Weatherproof IP65 rated wall mounted cylindrical  shaped upward light fitting with 18 watt LED bulb. (Prime cost of the Weatherproof IP65 rated wall mounted cylindrical shaped upward light fitting with 18 watt LED bulb is Rs.5900.00)</t>
  </si>
  <si>
    <t>Inner diameter of 5" Ceiling mounted down light complete with 12w LED lamp. (Prime cost of the Ceiling mounted down light complete with 12w
LED lamp is Rs.2900.00) - external slab area</t>
  </si>
  <si>
    <t>First Foor</t>
  </si>
  <si>
    <t>0'-7" x 0'-7" LED 12 watt ceiling surface mounted panel light fitting. -  Square Type. (Prime cost of the 0'-7" x 0'-7" LED 12 watt ceiling surface mounted panel light fitting. - Square Type is Rs.1450.00)</t>
  </si>
  <si>
    <t>V06.03</t>
  </si>
  <si>
    <t>V06.04</t>
  </si>
  <si>
    <t>0'-9" x 0'-9" LED 18 watt ceiling surface mounted panel light fitting. -   Square Type. (Prime cost of the 0'-9" x 0'-9" LED 18 watt ceiling surface mounted panel light fitting. - Square is Rs.1800.00)</t>
  </si>
  <si>
    <t>0'-5" x 0'-5" LED 6 watt ceiling surface mounted panel light fitting.-   Square Type. (Prime cost of the 0'-5" x 0'-5" LED 6 watt ceiling surface mounted panel light fitting.- Square Type is Rs.950.00)</t>
  </si>
  <si>
    <t>V06.07</t>
  </si>
  <si>
    <t>V06.08</t>
  </si>
  <si>
    <t>V06.09</t>
  </si>
  <si>
    <t>V06.10</t>
  </si>
  <si>
    <t>V06.11</t>
  </si>
  <si>
    <t>V06.12</t>
  </si>
  <si>
    <t>V06.13</t>
  </si>
  <si>
    <t>V07</t>
  </si>
  <si>
    <t>V07.01</t>
  </si>
  <si>
    <t>V07.02</t>
  </si>
  <si>
    <t>V06.14</t>
  </si>
  <si>
    <t>V06.15</t>
  </si>
  <si>
    <t>V06.16</t>
  </si>
  <si>
    <t>G.I Tube Hand Rail</t>
  </si>
  <si>
    <t>Partitions</t>
  </si>
  <si>
    <t>Supplying &amp; fixing surface mounted door closer of "Union Brand" &amp;  Model no. - N8803 or approved equivalent. In second Floor</t>
  </si>
  <si>
    <t>Copy of the first grade tile purchase bill should be produced at the time of payment.</t>
  </si>
  <si>
    <t>Granite</t>
  </si>
  <si>
    <t>Polished Granite 1" thick for vanity tops, laid on 1/2" thick cement sand  1:3 screed level off using cement slurry and 3mm joints to be absolutely in line and flush and grout. Size &amp; colour should be decided by the Architect.</t>
  </si>
  <si>
    <t>ff</t>
  </si>
  <si>
    <t>L.ft</t>
  </si>
  <si>
    <t>Concrete Lintols</t>
  </si>
  <si>
    <t>Lintols  size 4 1/2" x 6" deep in Grade 20 concrete, reinforced with 2 nos of 10mm dia. tor steel bars and 6mm mild steel stirrups @ 6" c/c including necessary formwork in ground floor.</t>
  </si>
  <si>
    <t>Windows</t>
  </si>
  <si>
    <t>A -  LABOUR WASHROOM</t>
  </si>
  <si>
    <t xml:space="preserve">Cube </t>
  </si>
  <si>
    <t xml:space="preserve">Approved Earth spreading , leveling watering and compaction manually  using standard cast iron stamper or equivalent and filling in 150 mm thick layers (loose volume) in restricted areas (Earth available at site) - Earth measured as a volume in loose state before spreading and compaction.                                                                                                       </t>
  </si>
  <si>
    <t>Mass Concrete</t>
  </si>
  <si>
    <t>4.01.01</t>
  </si>
  <si>
    <t>4.02.01</t>
  </si>
  <si>
    <t>4.02.02</t>
  </si>
  <si>
    <t xml:space="preserve">Volume Batched Grade 25 concrete prepared at site using mixer and vibrator in ground  floor.Rate shall include  the cost of curing continously for 7 days. UP TO DPC LEVEL
</t>
  </si>
  <si>
    <t xml:space="preserve">Volume Batched Grade 25 concrete prepared at site using mixer and vibrator  in ground  floor.  Rate  shall  include  the  cost  of curing continously for 7 days. DPC LEVEL TO SLAB LEVEL
</t>
  </si>
  <si>
    <t>In column shaft from ground floor level to slab level</t>
  </si>
  <si>
    <t>4.02.03</t>
  </si>
  <si>
    <t>MASONRY WORKS</t>
  </si>
  <si>
    <t>FLOORING WORK</t>
  </si>
  <si>
    <t>WATER PROOFING WORK</t>
  </si>
  <si>
    <t>PLASTERING WORK</t>
  </si>
  <si>
    <t>TILING WORK</t>
  </si>
  <si>
    <t>floor area</t>
  </si>
  <si>
    <t xml:space="preserve"> COLOUR WASHING, PAINTING &amp; POLISHING</t>
  </si>
  <si>
    <t>PLUMBING AND DRAINAGE WORK</t>
  </si>
  <si>
    <t>Light fittings</t>
  </si>
  <si>
    <t>Provide an earth electrode 5'-0" long , 16 mm dia. copper bonded solid 
steel rod (coating thickness 25 Micron) Rate shall include connection to
the main panel, sub main, earth clips</t>
  </si>
  <si>
    <t xml:space="preserve">In column footing,stub </t>
  </si>
  <si>
    <t>In column shaft from DPC  level to slab level</t>
  </si>
  <si>
    <t>Supply and fix Chromium plated Bip tap of of "Rocell" brand or approved  equivalent. (Prime cost of the Chromium plated Bip tap is Rs. 1000.00)</t>
  </si>
  <si>
    <t>Supply and fix Chromium plated pillar tap (cold water) for wash basin of "Rocell" brand or approved equivalent. (Prime cost of the Chromium plated pillar tap (cold water) for wash basin is Rs. 2100.00)</t>
  </si>
  <si>
    <t>Supply and fix chromium plated Robe Hook of "Rocell" brand or . 
approved equivalent. (Prime cost of the chromium plated Robe Hook is Rs. 1000.00)</t>
  </si>
  <si>
    <t>Supply and fix chromium plated Toilet Brush Holder of "Lanka Tiles Coloma - Angelo " brand or approved equivalent. (Prime cost of the chromium plated Toilet Brush Holder is Rs. 2500.00)</t>
  </si>
  <si>
    <t xml:space="preserve"> LABOUR WASHROOM SUM CARRIED TO GRAND SUMMARY</t>
  </si>
  <si>
    <t>Metal Work</t>
  </si>
  <si>
    <t>0'-9" x 0'-9" LED 18 watt ceiling recessed mounted panel light fitting. -   Square Type. (Prime cost of the 0'-9" x 0'-9" LED 18 watt ceiling recessed mounted panel light fitting. - Square Type is Rs.1500.00)</t>
  </si>
  <si>
    <t xml:space="preserve"> Nr. </t>
  </si>
  <si>
    <t>0'-5' x 0'-5" LED 6 watt ceiling recessed mounted panel light fitting. -Square Type. (Prime cost of the 0'-5' x 0'-5" LED 6 watt ceiling recessedmounted panel light fitting. - Square Type is Rs.775.00)</t>
  </si>
  <si>
    <t>Prepare Schemetic design and detail drawings</t>
  </si>
  <si>
    <t>Prepare  Building services detail drawings</t>
  </si>
  <si>
    <t>Prepare Structural detail drawings</t>
  </si>
  <si>
    <t>Prepare Cost Estimate</t>
  </si>
  <si>
    <t>Bidding document and procurement stage</t>
  </si>
  <si>
    <t>Bill checking</t>
  </si>
  <si>
    <t>Supply and fix chromium plated Bidet Spray of "Rocell" brand or . approved equivalent. (Prime cost of the chromium plated Bidet Spray is Rs. 1676.00)</t>
  </si>
  <si>
    <t>Supply and fix Chromium plated 1/2" dia. 24" long flexible horse of "Rocell" brand model No."20002" or approved equivalent. (Prime cost of the Chromium plated 1/2" dia. 24" long flexible horse is Rs. 1231.00)</t>
  </si>
  <si>
    <t>Supply and fix Chromium plated 1/2" dia. 18" long flexible horse of "Rocell" brand or approved equivalent. (Prime cost of the Chromium plated 1/2" dia. 18" long flexible horse is Rs. 1148.00)</t>
  </si>
  <si>
    <t>Supply and fixig of shower set with necessary fittings (Prime cost of the shower set is rs.4,500.00)</t>
  </si>
  <si>
    <t>site supervision</t>
  </si>
  <si>
    <t>site visit</t>
  </si>
  <si>
    <r>
      <rPr>
        <b/>
        <sz val="11"/>
        <rFont val="Times New Roman"/>
        <family val="1"/>
      </rPr>
      <t>TD1</t>
    </r>
    <r>
      <rPr>
        <sz val="11"/>
        <rFont val="Times New Roman"/>
        <family val="1"/>
      </rPr>
      <t xml:space="preserve">
Size 2700mmX 900mm Black powder coated aluminium single sash butt hinged openable door with middle rail and glazed with 6mm thick clear glass   panes, neoprene and wooled beading, gaskets, pop rivots,  threaded  bar  with  nut  and  approved quality lock, butt hinges, door handle with cap nut.and door top finish with Fix glass louver As per the members , sizes and details given in Drawing No:- 
</t>
    </r>
  </si>
  <si>
    <r>
      <rPr>
        <b/>
        <sz val="11"/>
        <rFont val="Times New Roman"/>
        <family val="1"/>
      </rPr>
      <t>TD2</t>
    </r>
    <r>
      <rPr>
        <sz val="11"/>
        <rFont val="Times New Roman"/>
        <family val="1"/>
      </rPr>
      <t xml:space="preserve">
Size 2400mmX 750mm Black powder coated aluminium single sash butt hinged openable door with middle rail and glazed with 6mm thick clear glass   panes, neoprene and wooled beading, gaskets, pop rivots,  threaded  bar  with  nut  and  approved quality lock, butt hinges, door handle with cap nut.and door top finish with Fix glass louver As per the members , sizes and details given in Drawing No:- 
</t>
    </r>
  </si>
  <si>
    <r>
      <rPr>
        <b/>
        <sz val="11"/>
        <rFont val="Times New Roman"/>
        <family val="1"/>
      </rPr>
      <t>TD2</t>
    </r>
    <r>
      <rPr>
        <sz val="11"/>
        <rFont val="Times New Roman"/>
        <family val="1"/>
      </rPr>
      <t xml:space="preserve">
Size 2100mmX 750mm Black powder coated aluminium single sash butt hinged openable door with middle rail and glazed with 6mm thick clear glass   panes, neoprene and wooled beading, gaskets, pop rivots,  threaded  bar  with  nut  and  approved quality lock, butt hinges, door handle with cap nut.and door top finish with Fix glass louver As per the members , sizes and details given in Drawing No:- 
</t>
    </r>
  </si>
  <si>
    <r>
      <rPr>
        <b/>
        <sz val="11"/>
        <rFont val="Times New Roman"/>
        <family val="1"/>
      </rPr>
      <t xml:space="preserve">TFL1  </t>
    </r>
    <r>
      <rPr>
        <sz val="11"/>
        <rFont val="Times New Roman"/>
        <family val="1"/>
      </rPr>
      <t xml:space="preserve">                                                                                                            Size 600mm X600mm fanlight - 6mm thick clear glass work , out of 100 x 25mm SS "U" frame  including sand blast sticker film with all necessary  fittings as per the Architect detail drawing.</t>
    </r>
  </si>
  <si>
    <t>concrete</t>
  </si>
  <si>
    <t>formwork</t>
  </si>
  <si>
    <t>rf</t>
  </si>
  <si>
    <t>Shuttering for Columns including dismantling using pre-fabricated steel shutter halves including dismantling.</t>
  </si>
  <si>
    <t>v bvbnbvnbn</t>
  </si>
  <si>
    <t xml:space="preserve">……………………….                                                  </t>
  </si>
  <si>
    <t>MAIN SUMMARY</t>
  </si>
  <si>
    <t>……………………………………………….………………………….</t>
  </si>
  <si>
    <t>………………………………………………………………….……….</t>
  </si>
  <si>
    <t>Bidder's VAT Registration No: ………………………………...………………</t>
  </si>
  <si>
    <t>Signature of Bidder:                                            Date: ……………………………….</t>
  </si>
  <si>
    <t>Name and Address of Bidder:</t>
  </si>
  <si>
    <t xml:space="preserve">If additional Provide an earth electrode 6'-0" long , 2" dia. x 2.3 mm thick copper rod pipe and 35mm2 earth cable are required to improve the earth resistance.   </t>
  </si>
  <si>
    <t xml:space="preserve">Lightning protection earths 600x600x3mm copper plates,interconnecting Cu tape 3mm x25mm, 150mmx25mmx6mm Cu test clamps And concrete inspection Gully,enhance material with all accessories from roof top. Rate shall include connection
to the main panel, sub main, earth clips, wall plug, screws, &amp; etc. with 1'- 0" x 1'-0" x 1'-0" earth pit consist of 4 1/2" brick work , 3" thick Grade 20
concrete cover slab </t>
  </si>
  <si>
    <t>SUB TOTAL-I</t>
  </si>
  <si>
    <t xml:space="preserve">Name and Address of Witness: (1)                                               Name and Address of Witness: (2)  </t>
  </si>
  <si>
    <t>Signature of Witness: (1)                                                             Signature of Witness: (2)</t>
  </si>
  <si>
    <t>…………………………….                                                        ……………………………….</t>
  </si>
  <si>
    <t>Date: …………………………..                                                  Date: ………………………………</t>
  </si>
  <si>
    <t>P.S</t>
  </si>
  <si>
    <t>Waste Water pit</t>
  </si>
  <si>
    <t>Allowed for all cost of supply including CIF,CID,PAL,clearing charges,transport charges,erection,factory testing,site testing,commissioning as per specification.</t>
  </si>
  <si>
    <t>Passenger elavator</t>
  </si>
  <si>
    <t>Allowed for the cost of all temporary works,such as scaffolding etc, associated civil and electricle works and other related works such as  drilling of suitable holes in walls,breaking of any parts of walls and finishing works of the  same such as plastering,painting,etc   electricle power/ control wireing,services connections etc...</t>
  </si>
  <si>
    <t>Supply Cost</t>
  </si>
  <si>
    <t>V - MACHANICAL WORK</t>
  </si>
  <si>
    <t xml:space="preserve">Testing of Water tanks &amp; Sumps as per clause </t>
  </si>
  <si>
    <t>V - PROVISIONAL SUM CARRIED TO GRAND SUMMARY</t>
  </si>
  <si>
    <t>V - MACHANICAL WORK CARRIED TO GRAND SUMMARY</t>
  </si>
  <si>
    <t>Contractor s employees other than workmen is Rs.5.000.000/= per event</t>
  </si>
  <si>
    <t>Total Bid Sum to be taken in to Form of Bid in words      Rupees : …………………………………….</t>
  </si>
  <si>
    <t>…………………………………………………………………………………..…………………..Only</t>
  </si>
  <si>
    <t>Supplying and fixing two lever Mortice door lock for D6 double sash of  Union Brand or approved equivalent. (Prime cost is Rs.25,000.00)</t>
  </si>
  <si>
    <t>Ground floor concrete(75mm thick)</t>
  </si>
  <si>
    <t>Plinth beam</t>
  </si>
  <si>
    <t>Sump Construction</t>
  </si>
  <si>
    <t xml:space="preserve">Allowed for cost of providing security bonds,guaranties,insurance of personnel,property,material against accidents,damage,trespass or thief. </t>
  </si>
  <si>
    <t>Should have one year free maintenance and two year warranty.</t>
  </si>
  <si>
    <t>Volume Batched Grade 20 concrete prepared at site using mixer and vibrator for reinforced cast in situ lintols, copings, stiffeners and drains and pantry slab, kitchen vanity slab</t>
  </si>
  <si>
    <t>Transport</t>
  </si>
  <si>
    <t>Back Filling</t>
  </si>
  <si>
    <t>The rates given for  items herein are applicable for plywood sheets of 15 mm thick. Hence  the  rate is valid only if the shuttering / formwork for footing , column ,  beams , lintel, walls, slabs are of 15 mm thick ply boards.</t>
  </si>
  <si>
    <t>Mode of payment catogary</t>
  </si>
  <si>
    <t>A</t>
  </si>
  <si>
    <t>Light point wired through a 10 Amp one gang two way plate switch using  2x1/1.13mm(2x1/.044) P.V.C. insulated copper wire &amp; 1x7/0.67mm P.V.C. insulated copper earth wire in fully concealed/surface P.V.C.conduits. (For a switch circuit)</t>
  </si>
  <si>
    <t>Supply and fix chromium plated Towel Ring of "Rocell" brand or .  approved equivalent. (Prime cost of the chromium plated Towel Ring is Rs. 1000.00)</t>
  </si>
  <si>
    <t>Drip Edge</t>
  </si>
  <si>
    <t xml:space="preserve">In Ground Floor </t>
  </si>
  <si>
    <t>Forming drip  edge cement &amp; sand 1: 3 finished semi rough in ground floor. Rate includes cost of "Febmix"as a workability enhancer.</t>
  </si>
  <si>
    <t>ADD- CONTINGENCIES- 10%</t>
  </si>
  <si>
    <t>Homogeneous porcelain semi - glazed/mat floor tile 16" x 16" paving on  1:3 cement &amp; sand bedding and pointed with tile grout to match the tile.
(Prime Cost of tile sqft  is Rs.150.00)</t>
  </si>
  <si>
    <t>Supply and fix white vitreous china (vc) floor standing Vanity wash basin with overflow hole and single tap hole in center of "Rocell" brand or approved equivalent complete to working order inclusive of the 1 1/4" chromium plated waste outlet of "Rocell" brand or approved equivalent and 1 1/4" chromium plated siphon cleanable bottle trap of "Rocell" brand or approved equivalent. (Prime cost of the floor standing wash basin and pedestal is Rs.5,185.00)</t>
  </si>
  <si>
    <t>Supply and fix white vitreous china (vc) floor standing wash basin and pedestal with overflow hole and single tap hole in center of "Rocell" brand or approved equivalent complete to working order. (Prime cost of the floor standing wash basin and pedestal is Rs.5,185.00)</t>
  </si>
  <si>
    <t>Supply and fix squatting pan with foot rest with p trap of "Rocell" brand or approved equivalent complete to working order. (Prime cost of the squatting pan with foot rest with p trap is Rs. 3278.00)</t>
  </si>
  <si>
    <t>Supply and fix plastic cistern for squatting pan of "Rocell" brand or   approved equivalent including connecting pipe between tank and squatting pan complete to working order. (Prime cost of the plastic cistern for squatting pan is Rs. 2435.00)</t>
  </si>
  <si>
    <t>Supply and fix chromium plated Soap holder of "Rocell" brand or . 
approved equivalent. (Prime cost of the chromium plated Soap holder is Rs. 500.00)</t>
  </si>
  <si>
    <t>Supply and fix chromium plated Tumbler Holder of "Rocell" brand or  approved equivalent. (Prime cost of the chromium plated Tumbler Holder is Rs. 1000.00)</t>
  </si>
  <si>
    <t xml:space="preserve">Glazed Ceramic wall tiling of size 12" x 24" approved colour, supplying and fixing to walls on a 1:3 cement sand mortar layer, and pointed with tile grout to match the tile. (Rate does not include the 1:3 cement sand mortar layer and is separately measured under item L06) (Prime Cost of
tile Rs.300.00)
</t>
  </si>
  <si>
    <t>ROOF CONSTRUCTION</t>
  </si>
  <si>
    <t>The Bidder is requested to refer the Bill of Quantities,General Notes, Drawing, Specification and other relevant .documents prior to pricing of items in this trade</t>
  </si>
  <si>
    <t xml:space="preserve">Rates shall include for supply, installation, commissioning  and maintaining of the following items according to Drawings, Specifications and complete to working order with all connections to the approved of the AuthoritiesEngineer and relevant . </t>
  </si>
  <si>
    <t xml:space="preserve">The Bidder shall submit the following information on the </t>
  </si>
  <si>
    <t xml:space="preserve">items/equipment quoted for together with the tender. </t>
  </si>
  <si>
    <t>1. Make</t>
  </si>
  <si>
    <t>2. Model No.</t>
  </si>
  <si>
    <t>3. Technical data</t>
  </si>
  <si>
    <t>4. Country of manufacture</t>
  </si>
  <si>
    <t>5. Delivery period</t>
  </si>
  <si>
    <t>6. Lead time for manufacturing</t>
  </si>
  <si>
    <t>7. Port of shipping</t>
  </si>
  <si>
    <t>8. CIF value of each item in foreign currency</t>
  </si>
  <si>
    <t>9. Schedule of equipment</t>
  </si>
  <si>
    <t xml:space="preserve">The Bidder shall submit the following information on the items/equipment quoted for together with the tender. </t>
  </si>
  <si>
    <t xml:space="preserve">Supply and Install 9L water Cylinder complete with brackets as per Drawings and Specification </t>
  </si>
  <si>
    <t>9KG Dry Powder Fire Extinguisher</t>
  </si>
  <si>
    <t>the rate shall include the bulb lamp complete with the fitting. Bulbs make shall be - Philips, osram, nvc,greenee &amp; Orange or eq</t>
  </si>
  <si>
    <t>Wall mounted fan - (K.D.K. or approved equivalent ) 12960 in second Floor</t>
  </si>
  <si>
    <t>Wall mounted fan - (K.D.K. or approved equivalent ) 12960 in first Floor</t>
  </si>
  <si>
    <t>mirror lamp</t>
  </si>
  <si>
    <t>gf</t>
  </si>
  <si>
    <t>sf</t>
  </si>
  <si>
    <t>LED 6 watt Mirror lamp  fitting.-  (Prime cost of the  light fitting.-  is Rs.950.00)</t>
  </si>
  <si>
    <t>V06.17</t>
  </si>
  <si>
    <t xml:space="preserve">Installation charges,Testing and commissioning </t>
  </si>
  <si>
    <t>………………………………………....                                …...…………………………………….</t>
  </si>
  <si>
    <t>Water Disposal</t>
  </si>
  <si>
    <t>Disposal of Ground Water and Surface Water</t>
  </si>
  <si>
    <t>.</t>
  </si>
  <si>
    <t>Supply and fix zinc alum profile roofing colour sheet, laid on  purlings with joints to be properly connected with an adequate side lap to ensure water tightness along the entire length and complete to working order.(Rate to include roof frame and roof plumbing work and necessary other works)</t>
  </si>
  <si>
    <t>H - RUBBLE MASONRY</t>
  </si>
  <si>
    <t xml:space="preserve">5/8" thick plastering to plinth wall in cement sand 1:3 including finishing with cement slurry floating. Rate includes cost of "Febmix" as a workability enhancer.
</t>
  </si>
  <si>
    <t xml:space="preserve">Plastering 5/8" thick to walls in cement and sand 1:5 finished semi-rough.  Rate includes cost of "Febmix"as a workability enhancer.
</t>
  </si>
  <si>
    <t>l.ft.</t>
  </si>
  <si>
    <t xml:space="preserve">N  -  TIMBER DOORS </t>
  </si>
  <si>
    <t>total floor area</t>
  </si>
  <si>
    <t>rate per sqft</t>
  </si>
  <si>
    <t>(a)Doors :- 4 no. 5"x 3" Solid brass hinges</t>
  </si>
  <si>
    <t>Ground Floor- banak area</t>
  </si>
  <si>
    <t>1. Refer preamble note for approved timber species for Doors &amp; Windows.</t>
  </si>
  <si>
    <t>Supplying and fixing Handle Pair I type "Magnum" Brand &amp; model no  "2512I" handle 900 mm long stainless steel door pull handle fixed complete to working order.</t>
  </si>
  <si>
    <t xml:space="preserve">Ground Floor- </t>
  </si>
  <si>
    <t>SUB TOTAL IV</t>
  </si>
  <si>
    <t>TOTAL PROJECT COST WITH VAT</t>
  </si>
  <si>
    <t>Ready mix concrete of grade 25(25 N/mm2) confirming to SLS 1144- 1997, rate include to transport from batching plant. Rate shall inclue for placing, levelling, vibrating &amp; curing the concrete &amp; pump car cost</t>
  </si>
  <si>
    <t>Retaining wall Base</t>
  </si>
  <si>
    <t xml:space="preserve">In Retaining wall base </t>
  </si>
  <si>
    <t xml:space="preserve">In Retaining wall </t>
  </si>
  <si>
    <r>
      <t xml:space="preserve">Tor steel reinforcement to sretaining wall...bent to shape, laid in position and tied with </t>
    </r>
    <r>
      <rPr>
        <sz val="11"/>
        <color indexed="10"/>
        <rFont val="Times New Roman"/>
        <family val="1"/>
      </rPr>
      <t>16 B.W.G</t>
    </r>
    <r>
      <rPr>
        <sz val="11"/>
        <rFont val="Times New Roman"/>
        <family val="1"/>
      </rPr>
      <t xml:space="preserve">. Aneal binding wire </t>
    </r>
  </si>
  <si>
    <t xml:space="preserve">Cement concrete 1:3:6 (1") laid to a thickness of 2" in retaing wall base, including placing in position,compacting and curing.
</t>
  </si>
  <si>
    <t>WEEP HOLE</t>
  </si>
  <si>
    <t xml:space="preserve">Retaining wall </t>
  </si>
  <si>
    <t>RETAINING WALL CONSTRUCTION CARRIED TO GRAND SUMMARY</t>
  </si>
  <si>
    <t xml:space="preserve">Excavation  </t>
  </si>
  <si>
    <t>READY MIX CONCRETE</t>
  </si>
  <si>
    <t xml:space="preserve">In - Situ Plain Concrete </t>
  </si>
  <si>
    <t xml:space="preserve">CONSTRUCTION OF RETAINING WALL </t>
  </si>
  <si>
    <t>Charges for verifying the wiring done with meggar test &amp; continuity test before commensing installation of Distribution Board &amp; Electrical Fittings</t>
  </si>
  <si>
    <t>V01.03</t>
  </si>
  <si>
    <t xml:space="preserve">Supply, installation &amp; termination of main cable  from CEB supply to MDB  </t>
  </si>
  <si>
    <t xml:space="preserve">Supply, installation &amp; termination of  from MDB to DB-Lift    </t>
  </si>
  <si>
    <t>Supply, installation &amp; termination  of  from MDB to each floor DBs.</t>
  </si>
  <si>
    <t xml:space="preserve">Supply, installation &amp; termination  cable from corresponding meter to each DB at shops </t>
  </si>
  <si>
    <t>V02.02</t>
  </si>
  <si>
    <t>V02.03</t>
  </si>
  <si>
    <t>V02.04</t>
  </si>
  <si>
    <t>DBs For Shop</t>
  </si>
  <si>
    <t xml:space="preserve">(4) Pedestal fan </t>
  </si>
  <si>
    <t xml:space="preserve">(CV to be submitted with the bid)  </t>
  </si>
  <si>
    <t>Allow lump sum for providing  Accommodation, including all sanitory facility  for Contractor's staff and workmen</t>
  </si>
  <si>
    <t>DB</t>
  </si>
  <si>
    <t>DB- For Lift</t>
  </si>
  <si>
    <t>V03.03</t>
  </si>
  <si>
    <t>V03.04</t>
  </si>
  <si>
    <t>DBs For Banks</t>
  </si>
  <si>
    <t>V03.05</t>
  </si>
  <si>
    <t xml:space="preserve">Supply and mounted (LED Phase indicator lamps ) Wall/Surface mounted Powder Coated Steel Enclosure with lockable doors ,cover plate &amp; internal wiring c/w bus bars and Accessories.(Rate to include necessary MCCB,MCB,RCCB,and other necessary fixturesand  Other required supportive materials should include )  The contractor shoud take advise an electricle engineer before undataking the work and </t>
  </si>
  <si>
    <t>Supply and mounted LED phase indicator lamps powder coated steel encloser with lockble door, Wall mounted distribution board (3 nr of DB)  &amp; internal wiring c/w bus bars and Accessories.(Rate to include necessary MCCB,MCB,RCCB,and other necessary fixturesand  Other required supportive materials should include )  The contractor shoud take advise an electricle engineer before undataking the work</t>
  </si>
  <si>
    <t>Supply and mounted LED phase indicator lamps powder coated steel encloser with lockble door,  Wall mounted distribution board (4 nr of DB)  &amp; internal wiring c/w bus bars and Accessories.(Rate to include necessary MCCB,MCB,RCCB,and other necessary fixturesand  Other required supportive materials should include )  The contractor shoud take advise an electricle engineer before undataking the work</t>
  </si>
  <si>
    <t>Supply and mounted LED phase indicator lamps powder coated steel encloser with lockble door,  Wall mounted distribution board)  &amp; internal wiring c/w bus bars and Accessories.(Rate to include necessary MCCB,MCB,RCCB,and other necessary fixturesand  Other required supportive materials should include )  The contractor shoud take advise an electricle engineer before undataking the work</t>
  </si>
  <si>
    <t>Metal Ceiling</t>
  </si>
  <si>
    <t>Supplying &amp; Installing of 600mmx 600mm non perforated white metal sheet ceiling, supported by concealed type furring suspended system installed in a flat horizontal manner using furing bars clipped on to inter locking hot dipped GI main tees with clips, ciling to be susppended using GI 04mm thick hanger rods (Prime cost of 2'-0" x 2'-0" 
sheet is Rs.2,640.00)</t>
  </si>
  <si>
    <t>Powder coated perforated mesh Hand Rail</t>
  </si>
  <si>
    <t>Tempored Glass Partition</t>
  </si>
  <si>
    <t>Paving Blocks</t>
  </si>
  <si>
    <t>In plinth Beams</t>
  </si>
  <si>
    <t xml:space="preserve">Cement concrete 1:3:6 (1") laid to a thickness of 2" in wall foundations, under column/stair footings,plinth beams including placing in position,compacting and curing.
</t>
  </si>
  <si>
    <t>In column shaft from First floor level to Second floor level</t>
  </si>
  <si>
    <t xml:space="preserve">Shuttering for floor slab including dismantling in 15mm thick Plywood board or steel boarding support by steel jack </t>
  </si>
  <si>
    <t>Shuttering for floor Beams including dismantling in 15mm thick plywood board or steel formwork</t>
  </si>
  <si>
    <t>In  Slab at second floor level</t>
  </si>
  <si>
    <t>In beam at First floor level</t>
  </si>
  <si>
    <t>In beam at second floor level</t>
  </si>
  <si>
    <t>Roof Slab</t>
  </si>
  <si>
    <t>In Ground Floor</t>
  </si>
  <si>
    <t>In Second Floor</t>
  </si>
  <si>
    <t>P -  STEEL STRUCTURAL WORK</t>
  </si>
  <si>
    <t>STEEL STRUCTURAL WORK CARRIED TO COLLECTION</t>
  </si>
  <si>
    <t>P 01</t>
  </si>
  <si>
    <t>Steel Column Work</t>
  </si>
  <si>
    <t>P 01.1</t>
  </si>
  <si>
    <t xml:space="preserve">P 02 </t>
  </si>
  <si>
    <t>Roof Beam Work</t>
  </si>
  <si>
    <t>P 02.1</t>
  </si>
  <si>
    <t>P 02.2</t>
  </si>
  <si>
    <t>ton</t>
  </si>
  <si>
    <r>
      <t xml:space="preserve">Supply and  fabrication and erection  of  </t>
    </r>
    <r>
      <rPr>
        <b/>
        <sz val="10"/>
        <color theme="1"/>
        <rFont val="Times New Roman"/>
        <family val="1"/>
      </rPr>
      <t>IC1</t>
    </r>
    <r>
      <rPr>
        <sz val="10"/>
        <color theme="1"/>
        <rFont val="Times New Roman"/>
        <family val="1"/>
      </rPr>
      <t xml:space="preserve">  250X125 29.6kg/m  I column including fixing and connection to  concrete shaft, rate to include to gusset plates,sole plated,base plates,cleats and  nuts bolts, j bolts, plates, welding &amp; applying one coat of Zn/phosphate paint and two coats of enamal and nesessary other work, complete to working order as per the detail drawings and specification </t>
    </r>
  </si>
  <si>
    <r>
      <t xml:space="preserve">Supply and  fabrication and erection  of  </t>
    </r>
    <r>
      <rPr>
        <b/>
        <sz val="10"/>
        <color theme="1"/>
        <rFont val="Times New Roman"/>
        <family val="1"/>
      </rPr>
      <t>IRB1</t>
    </r>
    <r>
      <rPr>
        <sz val="10"/>
        <color theme="1"/>
        <rFont val="Times New Roman"/>
        <family val="1"/>
      </rPr>
      <t xml:space="preserve">  250X125 29.6kg/m  I roof beam including fixing and connection to  concrete beam and I column, rate to include to gusset plates,sole plated,base plates,cleats and  nuts bolts, j bolts, plates, welding &amp; applying one coat of Zn/phosphate paint and two coats of enamal and nesessary other work, complete to working order as per the detail drawings and specification </t>
    </r>
  </si>
  <si>
    <r>
      <t xml:space="preserve">Supply and  fabrication and erection  of  </t>
    </r>
    <r>
      <rPr>
        <b/>
        <sz val="10"/>
        <color theme="1"/>
        <rFont val="Times New Roman"/>
        <family val="1"/>
      </rPr>
      <t>ITB1</t>
    </r>
    <r>
      <rPr>
        <sz val="10"/>
        <color theme="1"/>
        <rFont val="Times New Roman"/>
        <family val="1"/>
      </rPr>
      <t xml:space="preserve">  150X75 14kg/m  I roof beam including fixing and connection to  concrete beam and I column, rate to include to gusset plates,sole plated,base plates,cleats and  nuts bolts, j bolts, plates, welding &amp; applying one coat of Zn/phosphate paint and two coats of enamal and nesessary other work, complete to working order as per the detail drawings and specification </t>
    </r>
  </si>
  <si>
    <t>Graded Quarry dust 4.5mm downwards supplying, spreading, levelling, watering in 225mm thick layers and compaction using machine Rammer.(loose volume). Rate include hire charges of the machine rammer. Incase where measurements are to be done on compacted volume multiply the rate by 1.20.</t>
  </si>
  <si>
    <t xml:space="preserve">Approved Earth spreading , leveling watering and compaction manually  using standard cast iron stamper or equivalent and filling in 225 mm thick layers (loose volume) in restricted areas (Earth available at off site) - Earth measured as a volume in loose state before spreading and compaction. </t>
  </si>
  <si>
    <t>Transport of any Material /Debris by any means in bulk including loading (for distance less than or equal 3 kilometers)</t>
  </si>
  <si>
    <t>In Retaining wall base and shaft</t>
  </si>
  <si>
    <t>Supplying and laying of type 400,75mm di uPVC pipes and forming weep holes at 1000mm staggered spacing including 40mm metal filter packing 500mm x 500mm x 500mm for retaining wall as directed</t>
  </si>
  <si>
    <t>T-FIRE EXTINGUSHER WORKS</t>
  </si>
  <si>
    <t>FIRE EXTINGUSHER WORKS CARRIED TO COLLECTION</t>
  </si>
  <si>
    <t>nos</t>
  </si>
  <si>
    <t>Sqm</t>
  </si>
  <si>
    <t>L.m</t>
  </si>
  <si>
    <t>Removing top soil including mud,  machinery to a  nessasary depth  and removing all debris away from site, location decided by client withing 3 km</t>
  </si>
  <si>
    <t xml:space="preserve"> (1) 2-0"x4-0" Table with drawers for Engineer's representative with medium back chair</t>
  </si>
  <si>
    <t>(2) Chair for Engineer's Representative( two nr of low back chair)</t>
  </si>
  <si>
    <t>(5) 30 Gb monthly data package( WIFI Router),contractor should paid data package  monthly</t>
  </si>
  <si>
    <t>Allow lump sum for erecting and maintaining scaffolding and/ self climbing platforms around the construction building wall area. Such scaffolding etc. shall be removed on completion and all Works disturbed shall be made good.rate to include to safety dust coverd green net for total building perimeter building height area</t>
  </si>
  <si>
    <t xml:space="preserve">Rate for items  shall include the cost of adapter, connecting 2core 1mm 2 cable o ,galvanized hanging chain. </t>
  </si>
  <si>
    <t>wall mounted clear transparent glass globe light fitting and bracket  with 12 watt LED bulb. (Prime cost of the wall mounted clear transparent
glass globe light fitting and bracket with 9 watt LED bulb is Rs.2900.00)</t>
  </si>
  <si>
    <t>Inner diameter of 100mm Ceiling mounted down light complete with 18w LED lamp. (Prime cost of the Ceiling mounted down light complete with 18w
LED lamp is Rs.2900.00) - external slab area</t>
  </si>
  <si>
    <t>Supplying and fixing of 18 watt pendnt lite fittings  for the restaurant area, (Prime cost of the   light fitting. -  is Rs.2500.00)</t>
  </si>
  <si>
    <t xml:space="preserve">Excavation for retaining wall base in any material earth up to 5'-0" depth,(rate to include to nesessary working space and rock blasting if required)                                                                                                         </t>
  </si>
  <si>
    <t xml:space="preserve">Excavation for retaining wall base in any  material earth exceeding 5'-0" and not exceeding 10'-0" depth,(rate to include to nesessary working space and rock blasting if required)                                                                                                         </t>
  </si>
  <si>
    <t xml:space="preserve">Excavation for retaining wall base in any  material earth  exceeding 10'-0" and not exceeding 15'-0" depth,(rate to include to nesessary working space and rock blasting if required)                                                                                                        </t>
  </si>
  <si>
    <t>Temporary earth work supports ,inclose planking in trenches of loose soil,total depth to detail drawings,Contractor shall design the shoring method based on soil report recommendations to suit the specific site requirements and method specification to be submitted before excavation to the Divisional Engineer for approval.</t>
  </si>
  <si>
    <t>Shuttering for sides of base and wall with 15mm thick Plywood board/or steel plate including dismantling</t>
  </si>
  <si>
    <t xml:space="preserve">DB- For bank- 4 nr of DB </t>
  </si>
  <si>
    <t xml:space="preserve">Allow sum for emplyoing a licensed land surveyor to define the building site work etc., check levels and carry out such other surveys as may be necessary to establish accrately the placing of forms and pouring of concrete and all other setting out in both vertical and horizontal plane. </t>
  </si>
  <si>
    <t>1.Architectural</t>
  </si>
  <si>
    <t>2.Electricle</t>
  </si>
  <si>
    <t>Tempored fixed Glass</t>
  </si>
  <si>
    <t>37.5mm x 25mm x 1.4mm thick hairline finished stainless steel 'U' channel framed work and 12mm thick tempered glass with printed PVC stickering  fixed with silicon joints  as per the detailed drawing and finishes as specified as per the drawings</t>
  </si>
  <si>
    <t>Rates include the cost of 1:3 cement:sand motar leveling bed and adhesives and matching grout</t>
  </si>
  <si>
    <t>Door (D6) paneled (Class I teak or eq treated timber) 1 1/8" thick double sash hung on
3/4" x 2 3/4" frame. Rate without brass furniture, painting and lock.</t>
  </si>
  <si>
    <t>Door (D7) paneled (Class I teak or eq treated timber)  1 1/8" thick double sash hung on
3/4" x 2 3/4" frame. Rate without brass furniture, painting and lock.</t>
  </si>
  <si>
    <t xml:space="preserve">Door frame in approved timber supplying &amp; fixing in 
position.(Class I teak or eq treated timber) </t>
  </si>
  <si>
    <t>Supplying and fixing two lever Mortice door lock for D7 single sash of  Union Brand or approved equivalent. (Prime cost is Rs.15,000.00)</t>
  </si>
  <si>
    <t>N 07</t>
  </si>
  <si>
    <t>Supplying and fixing 5" long heavy duty solid brass tower bolt for D7 inclusive  of brass screws marketed by M.M.Noorbhoy &amp; company or approved equivalent.</t>
  </si>
  <si>
    <t>Supplying &amp; fixing surface mounted door closer of "Union Brand" &amp;  Model no. - N8803 or approved equivalent. In Ground Floor D7</t>
  </si>
  <si>
    <t>N 08</t>
  </si>
  <si>
    <t>N 09</t>
  </si>
  <si>
    <t>Supplying, fabricating &amp; fixing of perforated mesh  hand rail upto 1.2m height  50mm dia 2.3mm thick G.I round  bar upright @ 3000mm c/c as vertical members fixed bottom end to steps with the 150mm dia 8mm thick M.S. plate connecting with 4 nos of 8mm dia.anchor bolts  and work complete in order. Rate Shall include for applying one coat of etch primer (50% of etch primer base and 50% etch primer activator),one coat of anti-corrosive primer with two coats of enamel paint. (Prime cost is Rs, 1,250.00 per sqft)</t>
  </si>
  <si>
    <t>Surface mounted Powder Coated Steel Enclosure with lockable doors ,cover plate &amp; internal wiring c/w bus bars and Accessories.</t>
  </si>
  <si>
    <t>Surface mounted Powder Coated Steel Enclosure c/w bus bars and Accessories.</t>
  </si>
  <si>
    <t xml:space="preserve">Supply, installation &amp; termination of  from Gf Dbs to Banks DB    </t>
  </si>
  <si>
    <t>Distribution Boards shall be completed  with necessary  protection</t>
  </si>
  <si>
    <t>V07.03</t>
  </si>
  <si>
    <t>Supply and mounted LED phase indicator lamps powder coated steel encloser with lockble door,  Wall mounted distribution board  &amp; internal wiring c/w bus bars and Accessories.(Rate to include necessary MCCB,MCB,RCCB,and other necessary fixturesand  Other required supportive materials should include )  The contractor shoud take advise an electricle engineer before undataking the work</t>
  </si>
  <si>
    <t>Supply and installation of 800Kg (10 Persons) capacity passenger lift with floor stops and Opening Doors complete with all accessories( Door safety 2D Infrared Light Curtain Protection,door stopper, Door-Opening Type Automatic , center opening, Main Power  400V / AC, 3Phase, 50Hz, and with all protection and other related necessary work  )</t>
  </si>
  <si>
    <t>Contractor shall be responsible for earthing the system in order to have an earth resistance below 10 Ohms.</t>
  </si>
  <si>
    <t>Supply and Installation of 1C, 16 sqmm Cu/PVC Earthing Cable from  MDB to  Earth pit.</t>
  </si>
  <si>
    <t>V07.04</t>
  </si>
  <si>
    <t xml:space="preserve">Project Manager ( C.Eng with 10 year experience- part time) </t>
  </si>
  <si>
    <t xml:space="preserve">MEP Engineer( Building Service Eng with 10 year experience- part time) </t>
  </si>
  <si>
    <t>( Site Engineer BSc.Eng with 5 years or NDT-Civil with 10 years experience- Full Time )</t>
  </si>
  <si>
    <t xml:space="preserve">(6) 1200mm X 1200mm white board </t>
  </si>
  <si>
    <t>(7) I5 computer with printer</t>
  </si>
  <si>
    <t>(3) lockable Cupboard for storage of drawings, documents and stationery</t>
  </si>
  <si>
    <t>Allow lump sum for constructing, maintaining, dismantling and removal on completion of the Works, a temporary air conditioned TFU for Engineer's office with toilet,elecricity facility in conformity with the plans provided for Engineer's requirements, including furniture and fittings, furnishing, sanitary facilities necessary and other facilities.</t>
  </si>
  <si>
    <t xml:space="preserve">Supplying and compaction of  Approved earth,compaction of earth including watering and compaction in 225mm thick layers with proctor density, using  machine rammer or roller vibrator, rate to include to compaction maching charges and other nessasary related work   </t>
  </si>
  <si>
    <t>Supply and mounted  Wall mounted distribution board( 42 nr)  &amp; internal wiring c/w bus bars and Accessories.(Rate to include necessary MCCB,MCB,RCCB,and other necessary fixturesand  Other required supportive materials should include )  The contractor shoud take advise an electricle engineer before undataking the work</t>
  </si>
  <si>
    <t>Fan reulator wired without a switch using 2x1/1.13mm P.V.V insulated copper wire &amp; 1x7/0.67mm P.V.C insulated copper earth wire in fully concealed/surface P.V.C condiuts.</t>
  </si>
  <si>
    <t>0'-6" x 0'-6" LED 18 watt ceiling surface/slab raised mounted  light fitting. -    (Prime cost of the 0'-6" x 0'-6" LED 18 watt ceiling surface mounted  light fitting. -  is Rs.1,975.00)</t>
  </si>
  <si>
    <t>(8) Adequate Size Meeting table and 6 nr of chair</t>
  </si>
  <si>
    <r>
      <t>m</t>
    </r>
    <r>
      <rPr>
        <vertAlign val="superscript"/>
        <sz val="11"/>
        <rFont val="Times New Roman"/>
        <family val="1"/>
      </rPr>
      <t>3</t>
    </r>
  </si>
  <si>
    <t>E1.3</t>
  </si>
  <si>
    <t>in Column Base</t>
  </si>
  <si>
    <t>E2.3</t>
  </si>
  <si>
    <t>E1.4</t>
  </si>
  <si>
    <t>In Floor Slab</t>
  </si>
  <si>
    <t>E3.3</t>
  </si>
  <si>
    <t xml:space="preserve">Painting  walls, columns, Revels with  one  coat  of   wall  primer and two coats of emulsion paint including preparing surface.   
</t>
  </si>
  <si>
    <t xml:space="preserve">Painting soffit  &amp; Beams with  one  coat  of   wall  primer and two coats of emulsion paint including preparing surface.   
</t>
  </si>
  <si>
    <t>Supplying &amp; installing of suspended Aluminium Panel Ceiling in 
600mm x 600 grid size reveal / bevel type using hot dipped GI pre –engineered inter - locking main tees (38mm x 14mm) and cross tees (25mm x 14mm) and wall angles expose areas finished with white baked enamel finish and suspended on 4 mm dia. adjustable hanger rods with spring clips. Ceiling panels will be Compton aluminium tiles 600mm x 600mm x 0.7mm (thickness) and complete to working order as per manufacture's specifications..</t>
  </si>
  <si>
    <t>Brick Slate</t>
  </si>
  <si>
    <t>Wall Point Stone work</t>
  </si>
  <si>
    <t>Pine Wood Ceiling</t>
  </si>
  <si>
    <t>Supply and fixing of tongued and grooved 1200mm X150mm Pine wood ceiling planks on underside of existing rafters, (Rate to include of timber strips and nessasry fixing related work and sand papering and smoothing one side of the planks, application of water based staining and two coats of waterbased sealant. Application of two coats of wood preservative )</t>
  </si>
  <si>
    <t>Site Engineer( Full Time)</t>
  </si>
  <si>
    <t>Note</t>
  </si>
  <si>
    <t>Painting walls,slab and revels  with one coat of Exterior wall primer and  two  coats  of  weathershield weatherproof acrylic exterior emultion  paint  including preparing surface. including preparing surface for exterior application before applicatin of emulsion paint.</t>
  </si>
  <si>
    <t>Concrete Curb</t>
  </si>
  <si>
    <t>Supply &amp; paving precast concrete Curb size 125mm x 255mm x 450mm of 25N/mm2 compressive strength laid with 1:3 cement mortar on top of a well compacted earth sub base &amp; tied with Grade20 cement concrete layer of  0' - 6" thick.</t>
  </si>
  <si>
    <t xml:space="preserve">Supply and fabrication of tempory chain post, rate to include to applying of suitable coates of primer and anti corrosive paints for post as per the drawings </t>
  </si>
  <si>
    <t>Temporary chain post</t>
  </si>
  <si>
    <t>Clearing site vegetation manually including removal of bushes, shurb removing rubbish.</t>
  </si>
  <si>
    <t xml:space="preserve">Supply  &amp;paving 80mm thick Non-Rectangular (Approx.size220mmx110mm) coloured precast interlocking paving blocks of 50N/mm2 compressive strength ,on 2" thick compacted Quarry dust laid on top of a levelled and well compacted earth sub base fort he high volume traffic areas. Paving blocks should confirming to S.L.S1425 :Part I &amp; II and subject to the approval of the quality &amp; colour including transport and laying.Rate shall include hire charges of 1/2-1 ton vibrating roller.
</t>
  </si>
  <si>
    <t>Internal light wiring shall comply with the drawings and shall be in 230/440 volt  PVC insulated copper cables</t>
  </si>
  <si>
    <t>Ground Floor,First Floor</t>
  </si>
  <si>
    <t xml:space="preserve">Light point wired through a 10 Amp two gang one way plate switch   using 2x1/1.13mm(2x1/.044) P.V.C. insulated copper wire &amp; 1x7/0.67mm
P.V.C. insulated copper earth wire in fully concealed/surface P.V.C. conduits. (For a switch circuit) </t>
  </si>
  <si>
    <t>Light point wired through a 10 Amp one gang four way plate switch using  2x1/1.13mm(2x1/.044) P.V.C. insulated copper wire &amp; 1x7/0.67mm P.V.C. insulated copper earth wire in fully concealed/surface P.V.C.conduits. (For a switch circuit)</t>
  </si>
  <si>
    <t>Ceiling fan of 56" Sweep KDK- brand ( M56RG-model) with Air flow rate of 225 cu.m /min @ RPM 270 with tolarance as per SLS 814 and two
star energy label as PER SLS 1600 in first Floor(Prime cost is Rs,25,000.00)</t>
  </si>
  <si>
    <t xml:space="preserve"> Weatherproof IP65 rated wall mounted  light fitting with 18 watt LED bulb. (Prime cost of the Weatherproof IP65 rated wall mounted light fitting with 18 watt LED bulb is Rs.7000.00)</t>
  </si>
  <si>
    <t>0'-5" x 0'-5" LED 18 watt ceiling surface/slab raised mounted  light fitting. -    (Prime cost of the 0'-6" x 0'-6" LED 18 watt ceiling surface mounted  light fitting. -  is Rs.3,500.00)</t>
  </si>
  <si>
    <t>LED 6 watt Mirror lamp  fitting.-  (Prime cost of the  light fitting.-  is Rs.2,000.00)</t>
  </si>
  <si>
    <t>Supplying and install of LED 6w Stair step light.-  (Prime cost of the  light fitting.-  is Rs.2,000.00)</t>
  </si>
  <si>
    <t>Steel Stair case</t>
  </si>
  <si>
    <t>Wall Mounted ledder</t>
  </si>
  <si>
    <t>Supplying and laying of wall point stone (Pathuru gal, 75mm X 450mm) for desired floor area, rate to include to 1:5 cement mortaor works and outer surface should be applied suitble coats of exterior wall primer for neat finish</t>
  </si>
  <si>
    <t>Supply and Install 5kg  CO2 fire extinguishe  complete with brackets as per Drawings and Specification</t>
  </si>
  <si>
    <t>Supply and Install 9l Form Fire  extinguishe  complete with brackets as per Drawings and Specification</t>
  </si>
  <si>
    <t>7.Warrenty</t>
  </si>
  <si>
    <t>3.Water Supply,Sewarage and Waste Water lines</t>
  </si>
  <si>
    <t>HPL Partition</t>
  </si>
  <si>
    <t>Supplying, fabrication and erection of  steel spiral staircase as per the detail,rate to include to nessasary excavation work,reinforced concrete work,painting work and all related work.(Ground Floor level to irst Floor Slab Level)</t>
  </si>
  <si>
    <t>Fabrication and erection of Steel framed wall mounted ladder to First Floor slab to water tank slab as per the detail</t>
  </si>
  <si>
    <t>Supplying and fixing of outdoor type brick slate for desired outdoor wall area,rate to include to nesasry fixing works and applying of suitable coates of outdoor waterproofing primer for smooth finished</t>
  </si>
  <si>
    <t xml:space="preserve">Allow lunp sum for preparing As built drawings of following services. All drawings shall be produced in triplicate to a scale (3 set of binded hard copy) and one electronic copy in Auto CAD format </t>
  </si>
  <si>
    <t>Supplying and fixing 1800mm internal dia.x 4'-0" depth Pre-cast waste water ( 2 nr of rings) pit with concrete cover and gaps filler with mortar works, and  perporated holes manufactured by "SEC" or approved equivalent. Rate shall include to excavtion,back filling, taransporting and  hire charges of boomtruck for placing and complete with all the necessary connection to  working order and subject to specific approval by the  Engineer and detail drawings</t>
  </si>
  <si>
    <t>Third Floor</t>
  </si>
  <si>
    <t>Fourth Floor</t>
  </si>
  <si>
    <t>S.qm</t>
  </si>
  <si>
    <t xml:space="preserve">Plastering 5/8" thick to walls,columns in cement and sand 1:5 finished smooth with two coats of skim coat.
</t>
  </si>
  <si>
    <t>Applying two coats of skim coat ( Not exceeding 3 mm thick) to soffit of slab,beams sunshade &amp; stair cases Inc. preparation surface.</t>
  </si>
  <si>
    <t>3rd</t>
  </si>
  <si>
    <t>Supply and fix Chromium plated 1/2" dia. angle valve of "Rocell" brand . model or approved equivalent. (Prime cost of the Chromium plated 1/2" dia. angle valve is Rs. 2,500.00)</t>
  </si>
  <si>
    <t>Supply and fix Chromium plated 1 1/4" chromium plated push type waste outlet of  "Rocell" brand or approved equivalent. (Prime cost of the Chromium plated 1 1/4" chromium plated waste outlet is Rs. 2,500.00)</t>
  </si>
  <si>
    <t>Supply and fix Chromium plated 1/2" dia. 36" long flexible horse of  "Rocell" brand or approved equivalent. (Prime cost of the Chromium plated 1/2" dia. 18" long flexible horse is Rs. 3,000.00)</t>
  </si>
  <si>
    <t>Supply and fix Chromium plated pillar tap (cold water) for wash basin of "Rocell" brand or approved equivalent. (Prime cost of the Chromium plated pillar tap (cold water) for wash basin is Rs. 6,000.00)</t>
  </si>
  <si>
    <t>Supply and fix chromium plated Toilet Brush Holder of "Lanka Tiles Coloma - Angelo " brand or approved equivalent. (Prime cost of the chromium plated Toilet Brush Holder is Rs. 3,000.00)</t>
  </si>
  <si>
    <t>Supplying and installing of water tank 2000 ltr. Capacity rate to including the cost of transport. Hoisting in position and specials,rate to include to necessary ball valve and other related fixtures and accessories</t>
  </si>
  <si>
    <t xml:space="preserve">Excavation for column, wall, staircase foundations in any material (except rock requiring blasting) up to depth (as per the drawings), part return fill in and ram and surplus depositted within site as directed.                                                                                                           </t>
  </si>
  <si>
    <t>In column/strip footing</t>
  </si>
  <si>
    <t>Fouth Floor</t>
  </si>
  <si>
    <t>C3.5.4</t>
  </si>
  <si>
    <t>C3.5.5</t>
  </si>
  <si>
    <t xml:space="preserve">Column base </t>
  </si>
  <si>
    <t>E1.5</t>
  </si>
  <si>
    <t>E1.6</t>
  </si>
  <si>
    <t>Staircase</t>
  </si>
  <si>
    <t>E3.4</t>
  </si>
  <si>
    <t>Supply, installation &amp; termination  of  from MDB to each  DBs.</t>
  </si>
  <si>
    <t>Supply and Installation of Power Distribution Panels</t>
  </si>
  <si>
    <t>SUB CIRCUIT &amp; LIGHT POINT WIRING</t>
  </si>
  <si>
    <r>
      <rPr>
        <b/>
        <sz val="11"/>
        <rFont val="Times New Roman"/>
        <family val="1"/>
      </rPr>
      <t>Installation of light fittings-indoor</t>
    </r>
    <r>
      <rPr>
        <sz val="11"/>
        <rFont val="Times New Roman"/>
        <family val="1"/>
      </rPr>
      <t xml:space="preserve">                                                                                                                                                                                                                                                                          Installation of light fittings including roll plugs, screws and complete with all other relevant accessories.                                                                                                                                                                                 </t>
    </r>
  </si>
  <si>
    <t>Outdoor wall mounted  light fitting with 18w LED bulb. (Prime cost is Rs.4,000.00)</t>
  </si>
  <si>
    <t>wall mounted clear transparent glass globe light fitting and bracket  with 12w LED bulb. (Prime cost is Rs.5,000.00)</t>
  </si>
  <si>
    <t>LED 6w  Mirror lamp  fitting.-  (Prime cost is Rs.2,500.00)</t>
  </si>
  <si>
    <r>
      <rPr>
        <b/>
        <sz val="11"/>
        <rFont val="Times New Roman"/>
        <family val="1"/>
      </rPr>
      <t xml:space="preserve">Point wiring for socket outlets 13A - ( 16A Circuits) </t>
    </r>
    <r>
      <rPr>
        <sz val="11"/>
        <rFont val="Times New Roman"/>
        <family val="1"/>
      </rPr>
      <t xml:space="preserve">                                                Supply, Installation &amp; wiring of 13A power Socket Outlet, by using 2x1C 2.5mm^2 Cu /PVC/PVC Cable + 1C 2.5 mm^2 Cu/PVC Earth Cable (in radial circuit) through slab &amp; wall in PVC conduits including PVC conduits, sunk box, junction box, outlet and complete with all other relevant accessories. </t>
    </r>
  </si>
  <si>
    <r>
      <rPr>
        <b/>
        <sz val="11"/>
        <rFont val="Times New Roman"/>
        <family val="1"/>
      </rPr>
      <t>Installation of light fittings-indoor</t>
    </r>
    <r>
      <rPr>
        <sz val="11"/>
        <rFont val="Times New Roman"/>
        <family val="1"/>
      </rPr>
      <t xml:space="preserve">                                                                                                                                                                                                                                                                          Installation of light fittings including roll plugs, screws and complete with all other relevant accessories. (excluding chandeliers)                                                                                                                                                                                </t>
    </r>
  </si>
  <si>
    <r>
      <rPr>
        <b/>
        <sz val="11"/>
        <rFont val="Times New Roman"/>
        <family val="1"/>
      </rPr>
      <t>Installation of light fittings-indoor/outdoor</t>
    </r>
    <r>
      <rPr>
        <sz val="11"/>
        <rFont val="Times New Roman"/>
        <family val="1"/>
      </rPr>
      <t xml:space="preserve">                                                                                                                                                                                                                                                                          Installation of light fittings including roll plugs, screws and complete with all other relevant accessories.                                                                                                                                                                                 </t>
    </r>
  </si>
  <si>
    <t xml:space="preserve">Inner diameter of 150mm Ceiling/slab mounted down light complete with 18w LED lamp. (Prime cost is Rs.5,000.00) </t>
  </si>
  <si>
    <t>Supplying and fixing 1800mm internal dia.x 2'-6" depth Pre-cast Soakage ( 7 nr of rings) pit with concrete cover and gaps filler with mortar works, and  perporated holes manufactured by "SEC" or approved equivalent. Rate shall include to excavtion,back filling, taransporting and  hire charges of boomtruck for placing and complete with all the necessary connection to  working order and subject to specific approval by the  Engineer and detail drawings</t>
  </si>
  <si>
    <t>LED 12w 1200mm length  florecent fitting.-  (Prime cost is Rs.5,500.00)</t>
  </si>
  <si>
    <t>150mm dia LED 18w ceiling surface/slab raised mounted  light fitting. -    (Prime cost is Rs.5,500.00)</t>
  </si>
  <si>
    <t>Supplying and fixing of chandiler- fittings (Prime cost of the  light fitting.-  is Rs.150,000.00)</t>
  </si>
  <si>
    <t xml:space="preserve">Inner diameter of 150mm Ceiling/slab mounted raised light complete with 18w LED lamp. (Prime cost is Rs.5,000.00) </t>
  </si>
  <si>
    <t>Supply, Installation, Testing and Commissioning of Electrical Distribution System.</t>
  </si>
  <si>
    <t>Proposed Building For Mr. Hiroshan Hettiarachchi at Maharagama.</t>
  </si>
  <si>
    <t xml:space="preserve">BoQ and Specifications for Electrical System. </t>
  </si>
  <si>
    <t>RATE (LKR)</t>
  </si>
  <si>
    <t>AMOUNT (LKR)</t>
  </si>
  <si>
    <t>Specifications &amp; General Notes For Electrical Installation</t>
  </si>
  <si>
    <t>1.</t>
  </si>
  <si>
    <t>All related work to the above installation shall meet the requirements of BS 7671:2018;Requirments for Electrical Installations (IET Wiring Regulations;18th Edition)</t>
  </si>
  <si>
    <t>2.</t>
  </si>
  <si>
    <t>The Electrical Installation is designed for 400/230 volts, 3 phase 50Hz with earthed neutral.</t>
  </si>
  <si>
    <t>3.</t>
  </si>
  <si>
    <t>All items shall be quoted and Contract is Measure and pay Basis. It is possible to increase or decrease number of quantities of items and total removal of items also can occur, depend on the site conditions and requirements.</t>
  </si>
  <si>
    <t>4.</t>
  </si>
  <si>
    <t>Cable terminations shall be carried out using correct accessories such as lugs, brass glands, bushes, lock nuts etc.</t>
  </si>
  <si>
    <t>5.</t>
  </si>
  <si>
    <t>Installation work shall be carried out by experienced electrical contractors who has had previous experience in similar capacity projects and shall have proper standard tools, equipment and experienced and competent staff for electrical installation and commissioning and testing.</t>
  </si>
  <si>
    <t>6.</t>
  </si>
  <si>
    <t>Contractor must check actual cable lengths at site before purchasing and start laying/implementation hence avoid cable joints.</t>
  </si>
  <si>
    <t>7.</t>
  </si>
  <si>
    <t>The contractor shall provide a minimum one year warranty period for the distribution panels and its accessories / components. In addition contractor shall provide manufactures’ warranty (if more than one year) for accessories  and components that are used.</t>
  </si>
  <si>
    <t>8.</t>
  </si>
  <si>
    <t>Door earthing link to be provided for metal power distribution boards.</t>
  </si>
  <si>
    <t>9.</t>
  </si>
  <si>
    <t>keep 10% Additional Space within the Power Distribution Boards (this includes din rails &amp; front cover plate space and front covers to be cut to the 10 % space and to be closed with blank plates.</t>
  </si>
  <si>
    <t>10.</t>
  </si>
  <si>
    <t>Proper size of earth CU bus bars to be provided for Power Distribution Boards.</t>
  </si>
  <si>
    <t>11.</t>
  </si>
  <si>
    <r>
      <t xml:space="preserve">Proper durable </t>
    </r>
    <r>
      <rPr>
        <b/>
        <sz val="11"/>
        <rFont val="Times New Roman"/>
        <family val="1"/>
      </rPr>
      <t>metal type door locks</t>
    </r>
    <r>
      <rPr>
        <sz val="11"/>
        <rFont val="Times New Roman"/>
        <family val="1"/>
      </rPr>
      <t xml:space="preserve"> with metal keys to be used for metal Distribution Boards</t>
    </r>
  </si>
  <si>
    <t>12.</t>
  </si>
  <si>
    <t>Samples and technical details need to be provided for all the accessories, when request by consultant without claiming any charge.</t>
  </si>
  <si>
    <t>13.</t>
  </si>
  <si>
    <t>The Contractor shall submit complete two set of certified As Built drawings that includes layout and schematic drawings, control diagrams, power diagrams after completion of the Job.</t>
  </si>
  <si>
    <t>14.</t>
  </si>
  <si>
    <t xml:space="preserve">After completion of the installation, the Contractor shall submit Inspection and test certificates for electrical installation( Including all tests)  from a Chartered Electrical Engineer before energizing the system. </t>
  </si>
  <si>
    <t>Contractor must perform site visits &amp; check for practical &amp; feasible conditions/options of the given designs  based on practical site conditions &amp; submit quotations accordingly.</t>
  </si>
  <si>
    <t>Identification tags to be pasted at Distribution boards, sub Circuits etc.</t>
  </si>
  <si>
    <t>Single line diagram and load description details (laminated color copies) to be kept inside the Distribution board (Those to be kept in a Proper polythene cover pasting to the back side of the front door.)</t>
  </si>
  <si>
    <t>Proper Rubber/PVC beading to be fixed for cable entering points of Power Distribution Boards and Metal Trunking.</t>
  </si>
  <si>
    <t>It is contractor’s responsibility to remove all the debris own/ happened due to contractor’s work.</t>
  </si>
  <si>
    <t>Installation heights of switches, socket outlets and other items will be given by architect/consultant/client.</t>
  </si>
  <si>
    <r>
      <t xml:space="preserve">Contractor shall give </t>
    </r>
    <r>
      <rPr>
        <b/>
        <sz val="11"/>
        <rFont val="Times New Roman"/>
        <family val="1"/>
      </rPr>
      <t>item schedule</t>
    </r>
    <r>
      <rPr>
        <sz val="11"/>
        <rFont val="Times New Roman"/>
        <family val="1"/>
      </rPr>
      <t xml:space="preserve"> (that mentioned all brands going to be used), for consultant’s approval before purchasing and starting the work.</t>
    </r>
  </si>
  <si>
    <t>Contractor shall submit shop drawings for consultant's approval before start site works.</t>
  </si>
  <si>
    <t>Equipment Specifications</t>
  </si>
  <si>
    <t xml:space="preserve">Wall Mounted and Floor Mounted Distribution Boards,                                                                                                                     </t>
  </si>
  <si>
    <t xml:space="preserve">All Floor mounted and wall mounted distribution boards are complied for IP 55 and be fabricated with 2.0 mm thickness mild steel sheet metal and painted with powdered epoxy paint. </t>
  </si>
  <si>
    <t>Electrical Cable Trays, Ladders Trunkings</t>
  </si>
  <si>
    <t>Cable ladder system and cable tray system should be complied with BS EN61537 :2007 &amp; IEC 61537: 2006 .Cable management, Cable Tray system and Cable Ladder system</t>
  </si>
  <si>
    <t>These items shall be complied with mentioned standards. Mild steel: BS EN 10149-3, Stainless steel BS 1449: Part 2, Surface coating BS EN ISO 1461:2009</t>
  </si>
  <si>
    <t>Molded Case Circuit Breaker</t>
  </si>
  <si>
    <t>(MCCB) shall have breaking capacity of more than 25 kA or as indicated in drawings; and shall conform to BS 4752. Current transformer shall conform to BS 3938. The bus bars shall be copper conforming to BS 159 and covered with heat shrink insulation and colour coded. All the bus bars and cables from bus bars to MCCB and MCB shall be adequately rated so that the temperature in those are not more than 50 deg C at full load current.</t>
  </si>
  <si>
    <t xml:space="preserve">All MCCB’s and switch boards shall be labelled to indicate area it feeds.    </t>
  </si>
  <si>
    <t>MCB (Miniature Circuit Breakers)</t>
  </si>
  <si>
    <t xml:space="preserve">MCB shall be comply with BS 3871 and breaking capacity shall be more than 5kA; type 2 used for lighting and socket outlets whereas type 3 is used for AC circuits. </t>
  </si>
  <si>
    <t>RCCB ( Residual Current Circuit Breaker)</t>
  </si>
  <si>
    <t>RCCB shall be comply with BS 4293 and sensitivity has been mentioned in the BoQ and Single line diagrams.</t>
  </si>
  <si>
    <t xml:space="preserve">20A Double Pole (2pole) Switches </t>
  </si>
  <si>
    <t>Above Switches shall be comply with BS 3676</t>
  </si>
  <si>
    <t>13A Switched Socket Outlets (Square Pin)</t>
  </si>
  <si>
    <t>Above socket outlets shall be comply with BS 546</t>
  </si>
  <si>
    <t xml:space="preserve">Recommended brands of Item </t>
  </si>
  <si>
    <t>Note: Bidder shall mention their consent for below brands, if not mention alternative brands.</t>
  </si>
  <si>
    <r>
      <t>Panel Board Power Analyzer / Digital kWh Meter</t>
    </r>
    <r>
      <rPr>
        <sz val="11"/>
        <rFont val="Times New Roman"/>
        <family val="1"/>
      </rPr>
      <t xml:space="preserve"> - Schneider (France),Circutor (Spain),Merlin Gerin or equivalent                                                     (need consultant's approval)</t>
    </r>
  </si>
  <si>
    <r>
      <t xml:space="preserve">MCCB </t>
    </r>
    <r>
      <rPr>
        <sz val="11"/>
        <rFont val="Times New Roman"/>
        <family val="1"/>
      </rPr>
      <t>-  Schneider (France),Hager(France), Terasaki(Japan), Moeller(German),Siemens(German)                                                                                                 (need consultant's approval)</t>
    </r>
  </si>
  <si>
    <r>
      <t>MCB-</t>
    </r>
    <r>
      <rPr>
        <sz val="11"/>
        <rFont val="Times New Roman"/>
        <family val="1"/>
      </rPr>
      <t>Schneider(France),Hager(France),Moeller(German), Siemens(German)  or equivalent (need consultant's approval)</t>
    </r>
  </si>
  <si>
    <r>
      <t>RCCB-</t>
    </r>
    <r>
      <rPr>
        <sz val="11"/>
        <rFont val="Times New Roman"/>
        <family val="1"/>
      </rPr>
      <t>Schneider(France),Hager(France),Moeller(German), Siemens(German) or equivalent (need consultant's approval)</t>
    </r>
  </si>
  <si>
    <r>
      <t xml:space="preserve">Power/Telephone Outlets </t>
    </r>
    <r>
      <rPr>
        <sz val="11"/>
        <rFont val="Times New Roman"/>
        <family val="1"/>
      </rPr>
      <t>– Orange or equivalent                                                                                                               (need consultant's approval)</t>
    </r>
  </si>
  <si>
    <r>
      <t xml:space="preserve">Switches </t>
    </r>
    <r>
      <rPr>
        <sz val="11"/>
        <rFont val="Times New Roman"/>
        <family val="1"/>
      </rPr>
      <t>– Orange or equivalent (need consultant's approval)</t>
    </r>
  </si>
  <si>
    <r>
      <t>Power Cables</t>
    </r>
    <r>
      <rPr>
        <sz val="11"/>
        <rFont val="Times New Roman"/>
        <family val="1"/>
      </rPr>
      <t xml:space="preserve"> - ACL, Kelani</t>
    </r>
  </si>
  <si>
    <r>
      <t>Fire resistant cables</t>
    </r>
    <r>
      <rPr>
        <sz val="11"/>
        <rFont val="Times New Roman"/>
        <family val="1"/>
      </rPr>
      <t xml:space="preserve"> – ACL, Kelani, Wilson (complying with BS7629/BS6387 Cat: CWZ )</t>
    </r>
  </si>
  <si>
    <r>
      <t xml:space="preserve">PVC Conduits and junction Boxes, Sunk Boxes – </t>
    </r>
    <r>
      <rPr>
        <sz val="11"/>
        <rFont val="Times New Roman"/>
        <family val="1"/>
      </rPr>
      <t>National, Slon, Polychrome or equivalent (need consultant's approval)</t>
    </r>
  </si>
  <si>
    <r>
      <t>ELR</t>
    </r>
    <r>
      <rPr>
        <sz val="11"/>
        <rFont val="Times New Roman"/>
        <family val="1"/>
      </rPr>
      <t xml:space="preserve"> - Merlin Gerin(France), Moeller(German),Delab,Micro or  equivalent  (need consultant's approval)</t>
    </r>
  </si>
  <si>
    <r>
      <t>PFR</t>
    </r>
    <r>
      <rPr>
        <sz val="11"/>
        <rFont val="Times New Roman"/>
        <family val="1"/>
      </rPr>
      <t xml:space="preserve"> - Merlin Gerin(France), Moeller(German) or equivalent                                                                       (need consultant's approval)</t>
    </r>
  </si>
  <si>
    <r>
      <t>SPD</t>
    </r>
    <r>
      <rPr>
        <sz val="11"/>
        <rFont val="Times New Roman"/>
        <family val="1"/>
      </rPr>
      <t xml:space="preserve"> - Surge Protection Devices - Furse, Erico, or equivalent( need consultant's approval)</t>
    </r>
  </si>
  <si>
    <r>
      <t>Current Transformers</t>
    </r>
    <r>
      <rPr>
        <sz val="11"/>
        <rFont val="Times New Roman"/>
        <family val="1"/>
      </rPr>
      <t xml:space="preserve"> – Hobut or equivalent ( need consultant's approval)</t>
    </r>
  </si>
  <si>
    <r>
      <t>Phase Indicators ( LED type)</t>
    </r>
    <r>
      <rPr>
        <sz val="11"/>
        <rFont val="Times New Roman"/>
        <family val="1"/>
      </rPr>
      <t xml:space="preserve"> – TEKNIC/CS or equivalent ( need consultant's approval)</t>
    </r>
  </si>
  <si>
    <r>
      <t>Distribution Boards</t>
    </r>
    <r>
      <rPr>
        <sz val="11"/>
        <rFont val="Times New Roman"/>
        <family val="1"/>
      </rPr>
      <t xml:space="preserve"> - EMP,Magline, KIK, Pubudu,Imported or locally manufactured up to the standard. (need consultant's approval)</t>
    </r>
  </si>
  <si>
    <r>
      <rPr>
        <b/>
        <sz val="11"/>
        <rFont val="Times New Roman"/>
        <family val="1"/>
      </rPr>
      <t>Cable Trays, Trunking and Ladders-</t>
    </r>
    <r>
      <rPr>
        <sz val="11"/>
        <rFont val="Times New Roman"/>
        <family val="1"/>
      </rPr>
      <t xml:space="preserve"> PUBUDU, EMP or equivalent. ( need consultants approval)</t>
    </r>
  </si>
  <si>
    <t>This is Measure and pay Contract. All items should be checked, measured and verified with relevant drawings.</t>
  </si>
  <si>
    <t>Contractor must check the actual cable length @ site, before purchasing and start cable laying/implementation.</t>
  </si>
  <si>
    <t>Contractor must read the specifications, General notes given and submit the quotation accordingly.</t>
  </si>
  <si>
    <t>As this is Measure and pay contract, Bidders are advised to carefully refer and understand all  drawings, specifications and general notes before submission of their quotation and proposal.</t>
  </si>
  <si>
    <t>Contractor must submit shop drawing and get approval before start fabrication and installation.</t>
  </si>
  <si>
    <t>Contractor must submit brands and specifications of all items and get approval before start fabrication and installation</t>
  </si>
  <si>
    <t>It’s bidders’ responsibility to refer Drawings, relevant specifications and general notes thereby check and verify quantities.</t>
  </si>
  <si>
    <t>If any discrepancy identified, bidder should clarify the same with client/consultant engineer before submission of final quotation and proposal.</t>
  </si>
  <si>
    <t>ATS WITH MDB</t>
  </si>
  <si>
    <t xml:space="preserve">03 Nos. 100A 4P MCCB </t>
  </si>
  <si>
    <t xml:space="preserve">01 No. 32A 4P Isolator </t>
  </si>
  <si>
    <t xml:space="preserve">01 No. 32A 4P MCCB </t>
  </si>
  <si>
    <t xml:space="preserve">01 No. 63A 4P MCB </t>
  </si>
  <si>
    <t xml:space="preserve">04 Nos. 32A 4P MCB </t>
  </si>
  <si>
    <t xml:space="preserve">02 Nos. 32A 2P MCB </t>
  </si>
  <si>
    <t xml:space="preserve">04 Nos. 20A 4P MCB </t>
  </si>
  <si>
    <t xml:space="preserve">01 No. 20A 2P MCB </t>
  </si>
  <si>
    <t xml:space="preserve">01 No. 16A 4P MCB </t>
  </si>
  <si>
    <t>01 No. power analyzer with all other relevant accessories.</t>
  </si>
  <si>
    <t xml:space="preserve">01 Set of SPD - Surge Protection Devices ( 3 Nos 50kA &amp; 1 Nos. 120kA) with 4 Nos 100A HRC fuses </t>
  </si>
  <si>
    <t xml:space="preserve">01 No. 100A ATS arrangement with electrical &amp; mechanical interlock, all controlling and complete with all other relevant accessories. </t>
  </si>
  <si>
    <t xml:space="preserve">01 No. Earth Leakage Relay (for 100A 4P MCCB) with shunt trip, CT'S &amp; other accessories. </t>
  </si>
  <si>
    <t>03 Set of (R,Y,B) LED type phase indicators with fuses.</t>
  </si>
  <si>
    <t>01 No. 32A Manual changeover and complete with all other accessories.</t>
  </si>
  <si>
    <t>01 Set of 25x3mm Cu Busbar ( for main earth terminal at ATS with MDB) with length of 600mm</t>
  </si>
  <si>
    <t>Relevant number of Cu Bus bars for R,Y,B,N,E</t>
  </si>
  <si>
    <t>01 No. Free Standing type, Powder coated metal Enclosure with front doors, metal locks &amp; front cover plate</t>
  </si>
  <si>
    <t xml:space="preserve">DB-GF </t>
  </si>
  <si>
    <t xml:space="preserve">01 No. 20A 4P MCB </t>
  </si>
  <si>
    <t>05 Nos. 40A 30mA 2P RCCB</t>
  </si>
  <si>
    <t>09 Nos. 6A SP MCB</t>
  </si>
  <si>
    <t>08 Nos. 10A SP MCB</t>
  </si>
  <si>
    <t>05 Nos. 16A SP MCB</t>
  </si>
  <si>
    <t>01 Set of Cu Bus bars for R,Y,B,N,E</t>
  </si>
  <si>
    <t>01 No. Wall mounted Type, Powder coated metal Enclosure with front door, metal locks &amp; front cover plate.</t>
  </si>
  <si>
    <t>DB-1F-RAW</t>
  </si>
  <si>
    <t>03 Nos. 40A 30mA 2P RCCB</t>
  </si>
  <si>
    <t>07 Nos. 6A SP MCB</t>
  </si>
  <si>
    <t>09 Nos. 10A SP MCB</t>
  </si>
  <si>
    <t>02 No. 16A SP MCB</t>
  </si>
  <si>
    <t>DB-1F-UPS</t>
  </si>
  <si>
    <t xml:space="preserve">01 No. 32A 2P MCB </t>
  </si>
  <si>
    <t>01 No. 40A 30mA 2P RCCB</t>
  </si>
  <si>
    <t>07 Nos. 16A SP MCB</t>
  </si>
  <si>
    <t>01 Set of Cu Bus bars for R,N,E</t>
  </si>
  <si>
    <t>01 Set (R) LED type phase indicators with fuses.</t>
  </si>
  <si>
    <t>DB-2F-RAW</t>
  </si>
  <si>
    <t>03 Nos. 6A SP MCB</t>
  </si>
  <si>
    <t>10 Nos. 10A SP MCB</t>
  </si>
  <si>
    <t>DB-2F-UPS</t>
  </si>
  <si>
    <t>06 Nos. 16A SP MCB</t>
  </si>
  <si>
    <t>01 Set of Cu Bus bars for Y,N,E</t>
  </si>
  <si>
    <t>01 Set (Y) LED type phase indicators with fuses.</t>
  </si>
  <si>
    <t>DB-3F-RAW</t>
  </si>
  <si>
    <t>10 Nos. 6A SP MCB</t>
  </si>
  <si>
    <t>03 Nos. 16A SP MCB</t>
  </si>
  <si>
    <t>DB-3F-UPS</t>
  </si>
  <si>
    <t>01 Set of Cu Bus bars for B,N,E</t>
  </si>
  <si>
    <t>01 Set (B) LED type phase indicators with fuses.</t>
  </si>
  <si>
    <t>DB-4F-RAW</t>
  </si>
  <si>
    <t>02 Nos. 40A 30mA 2P RCCB</t>
  </si>
  <si>
    <t>05 Nos. 6A SP MCB</t>
  </si>
  <si>
    <t>03 Nos. 10A SP MCB</t>
  </si>
  <si>
    <t>02 Nos. 16A SP MCB</t>
  </si>
  <si>
    <t>Relevant Set of Cu Bus bars for R,N,E</t>
  </si>
  <si>
    <t>DB-RT</t>
  </si>
  <si>
    <t xml:space="preserve">01 No. 16A 2P MCB </t>
  </si>
  <si>
    <t>01 No. 6A SP MCB</t>
  </si>
  <si>
    <t>05 Nos. 10A SP MCB</t>
  </si>
  <si>
    <t>01 No. Wall mounted  Type, PVC Enclosure with front door</t>
  </si>
  <si>
    <t>DB-UPS-IN</t>
  </si>
  <si>
    <t xml:space="preserve">01 No. 32A 4P MCB </t>
  </si>
  <si>
    <t>Relevant Set of Cu Bus bars for R,Y,B,N,E</t>
  </si>
  <si>
    <t>DB-UPS-OUT</t>
  </si>
  <si>
    <t xml:space="preserve">02 Nos. 20A 2P MCB </t>
  </si>
  <si>
    <t>DB-UPS-OUT-SR</t>
  </si>
  <si>
    <t>01 No. 40A 100mA 2P RCCB</t>
  </si>
  <si>
    <t>16 Nos. 16A SP MCB</t>
  </si>
  <si>
    <t>01 No. Wall mounted Type, PVC Enclosure with front door</t>
  </si>
  <si>
    <t>DB-AC-OUTDOOR</t>
  </si>
  <si>
    <t xml:space="preserve">01 No. 63A 4P MCCB </t>
  </si>
  <si>
    <t>01 No. 40A 4P MCB</t>
  </si>
  <si>
    <t>01 No. 32A 4P MCB</t>
  </si>
  <si>
    <t xml:space="preserve">01 No. Earth Leakage Relay (for 63A 4P MCCB) with shunt trip, CT'S &amp; other accessories. </t>
  </si>
  <si>
    <t>DB-LIFT</t>
  </si>
  <si>
    <t>01 No. 32A 4P ISOLATOR</t>
  </si>
  <si>
    <t>01 Nos. 6A SP MCB</t>
  </si>
  <si>
    <t>01 Nos. 10A SP MCB</t>
  </si>
  <si>
    <t>01 Nos. 16A SP MCB</t>
  </si>
  <si>
    <t>Relevant set of Cu Bus bars for R,Y,B,N,E</t>
  </si>
  <si>
    <t>01 Set of (R,Y,B) LED type phase indicators with fuses.</t>
  </si>
  <si>
    <t>01 No. Wall mounted type, Powder coated metal Enclosure with front door, metal locks &amp; front cover plate.</t>
  </si>
  <si>
    <t xml:space="preserve">Supply and installation of 16A 4P isolator with surface mounted PVC enclosure for water pump (at pump room in Ground Floor) and complete with all other relevant accessories.                                                                                                                                                                                   </t>
  </si>
  <si>
    <t xml:space="preserve">Supply and installation of 32A 4P isolator with surface mounted PVC enclosure for Fire pump (at pump room in Ground Floor) and complete with all other relevant accessories.                                                                                                                                                                                   </t>
  </si>
  <si>
    <t xml:space="preserve">Supply and installation of 16A 2P isolator with surface mounted PVC enclosure for Name board (at roof top) and complete with all other relevant accessories.                                                                                                                                                                                   </t>
  </si>
  <si>
    <t xml:space="preserve">Supply and installation of 32A 4P isolator with surface mounted PVC enclosure for Passenger Lift (at Lift machine rooms) and complete with all other relevant accessories.                                                                                                                                                                                   </t>
  </si>
  <si>
    <t>MAIN &amp; SUB MAIN DISTRIBUTION CABLES TO DBs</t>
  </si>
  <si>
    <r>
      <t>Supply, laying and termination of 4x1C 25mm^2 Cu/PVC/PVC Cable,</t>
    </r>
    <r>
      <rPr>
        <sz val="11"/>
        <color rgb="FFFF0000"/>
        <rFont val="Times New Roman"/>
        <family val="1"/>
      </rPr>
      <t xml:space="preserve"> </t>
    </r>
    <r>
      <rPr>
        <sz val="11"/>
        <rFont val="Times New Roman"/>
        <family val="1"/>
      </rPr>
      <t xml:space="preserve"> through electrical cable tray (fixing to vertical cable ladder) &amp;  complete with all other relevant accessories. (Cable type, Cable Length &amp; Size can be varied as per site conditions.)                                                                                                                                                                                                                                                                                                                                                                                             </t>
    </r>
    <r>
      <rPr>
        <b/>
        <sz val="11"/>
        <rFont val="Times New Roman"/>
        <family val="1"/>
      </rPr>
      <t>(from Transformer to ATS With MDB)</t>
    </r>
  </si>
  <si>
    <t xml:space="preserve">meter </t>
  </si>
  <si>
    <r>
      <t xml:space="preserve">Supply, laying and both end termination of 4x1C 25mm^2 Cu/PVC/PVC Cable through electrical cable tray (fixing to vertical cable ladder) &amp; complete with all other relevant accessories.                                                                                                                                                                                                                                                                                                                                                                                           </t>
    </r>
    <r>
      <rPr>
        <b/>
        <sz val="11"/>
        <rFont val="Times New Roman"/>
        <family val="1"/>
      </rPr>
      <t>(from Generator to ATS With MDB)</t>
    </r>
  </si>
  <si>
    <r>
      <t>Supply, laying and both end termination of 1x4C 6mm^2 Cu/MGT/FRXLPE/LSHF Cable + 1C 4mm^2 Cu/PVC Earth cable, through electrical cable tray (fixing to vertical cable ladder), on slab &amp; wall in PVC conduit, including PVC conduits and complete with all other relevant accessories.                                                                                                                                                                                                                                                                                                    (</t>
    </r>
    <r>
      <rPr>
        <b/>
        <sz val="11"/>
        <rFont val="Times New Roman"/>
        <family val="1"/>
      </rPr>
      <t>From</t>
    </r>
    <r>
      <rPr>
        <sz val="11"/>
        <rFont val="Times New Roman"/>
        <family val="1"/>
      </rPr>
      <t xml:space="preserve"> </t>
    </r>
    <r>
      <rPr>
        <b/>
        <sz val="11"/>
        <rFont val="Times New Roman"/>
        <family val="1"/>
      </rPr>
      <t>ATS with MDB to Fire Pumps panel at Pump room)</t>
    </r>
  </si>
  <si>
    <r>
      <t xml:space="preserve">Supply, laying and both end termination of 4x1C 2.5mm^2 Cu/PVC/PVC Cable + 1C 2.5mm^2 Cu/PVC Earth cable, through electrical cable tray (fixing to vertical cable ladder), on slab &amp; wall in PVC conduit, including PVC conduits and complete with all other relevant accessories.                                                                                                                                                                                                                                                                                </t>
    </r>
    <r>
      <rPr>
        <b/>
        <sz val="11"/>
        <rFont val="Times New Roman"/>
        <family val="1"/>
      </rPr>
      <t>(from ATS with MDB to Water Pumps panel at Pump room)</t>
    </r>
  </si>
  <si>
    <r>
      <t xml:space="preserve">Supply, laying and both end termination of 1x4C 6mm^2 Cu/MGT/FRXLPE/LSHF Cable + 1C 4mm^2 Cu/PVC Earth cable, through electrical cable tray (fixing to vertical cable ladder), on slab &amp; wall in PVC conduit, including PVC conduits and complete with all other relevant accessories.                                                                                                                               </t>
    </r>
    <r>
      <rPr>
        <b/>
        <sz val="11"/>
        <rFont val="Times New Roman"/>
        <family val="1"/>
      </rPr>
      <t>(from ATS with MDB to DB-LIFT at Lift Machine room )</t>
    </r>
  </si>
  <si>
    <r>
      <t xml:space="preserve">Supply, laying and both end termination of 4x1C 16mm^2 Cu/PVC/PVC Cable        + 1C 10mm^2 Cu/PVC Earth cable, through electrical cable tray (fixing to vertical cable ladder) , in PVC conduit, including PVC conduit and complete with all other relevant accessories.                                                                                                                                                                                                                                                              </t>
    </r>
    <r>
      <rPr>
        <b/>
        <sz val="11"/>
        <rFont val="Times New Roman"/>
        <family val="1"/>
      </rPr>
      <t>(from ATS with MDB to DB-AC-Outdoor at Roof terrace )</t>
    </r>
  </si>
  <si>
    <r>
      <t xml:space="preserve">Supply, laying and both end termination of 4x1C 6mm^2 Cu/PVC/PVC Cable        + 1C 4mm^2 Cu/PVC Earth cable, through electrical cable tray (fixing to vertical cable ladder) , in PVC conduit, including PVC conduit and complete with all other relevant accessories.                                                                                                                                                                                                                                                              </t>
    </r>
    <r>
      <rPr>
        <b/>
        <sz val="11"/>
        <rFont val="Times New Roman"/>
        <family val="1"/>
      </rPr>
      <t>(from ATS with MDB to DB-GF at Ground Floor )</t>
    </r>
  </si>
  <si>
    <r>
      <t xml:space="preserve">Supply, laying and both end termination of 4x1C 4mm^2 Cu/PVC/PVC Cable        + 1C 2.5mm^2 Cu/PVC Earth cable, through electrical cable tray (fixing to vertical cable ladder) , on duct wall, on Slab &amp; wall in PVC conduit, including PVC conduit and complete with all other relevant accessories.                                                                                                                                                                                                                                                              </t>
    </r>
    <r>
      <rPr>
        <b/>
        <sz val="11"/>
        <rFont val="Times New Roman"/>
        <family val="1"/>
      </rPr>
      <t>(from ATS with MDB to DB-1F-RAW at First Floor )</t>
    </r>
  </si>
  <si>
    <r>
      <t xml:space="preserve">Supply, laying and both end termination of 4x1C 4mm^2 Cu/PVC/PVC Cable        + 1C 2.5mm^2 Cu/PVC Earth cable, through electrical cable tray (fixing to vertical cable ladder) , on duct wall, on Slab &amp; wall in PVC conduit, including PVC conduit and complete with all other relevant accessories.                                                                                                                                                                                                                                                              </t>
    </r>
    <r>
      <rPr>
        <b/>
        <sz val="11"/>
        <rFont val="Times New Roman"/>
        <family val="1"/>
      </rPr>
      <t>(from ATS with MDB to DB-2F-RAW at Second Floor )</t>
    </r>
  </si>
  <si>
    <r>
      <t xml:space="preserve">Supply, laying and both end termination of 4x1C 4mm^2 Cu/PVC/PVC Cable        + 1C 2.5mm^2 Cu/PVC Earth cable, through electrical cable tray (fixing to vertical cable ladder) , on duct wall, on Slab &amp; wall in PVC conduit, including PVC conduit and complete with all other relevant accessories.                                                                                                                                                                                                                                                              </t>
    </r>
    <r>
      <rPr>
        <b/>
        <sz val="11"/>
        <rFont val="Times New Roman"/>
        <family val="1"/>
      </rPr>
      <t>(from ATS with MDB to DB-3F-RAW at Third Floor )</t>
    </r>
  </si>
  <si>
    <r>
      <t xml:space="preserve">Supply, laying and both end termination of 2x1C 4mm^2 Cu/PVC/PVC Cable        + 1C 2.5mm^2 Cu/PVC Earth cable, through electrical cable tray (fixing to vertical cable ladder) , on duct wall, on Slab &amp; wall in PVC conduit, including PVC conduit and complete with all other relevant accessories.                                                                                                                                                                                                                                                            </t>
    </r>
    <r>
      <rPr>
        <b/>
        <sz val="11"/>
        <rFont val="Times New Roman"/>
        <family val="1"/>
      </rPr>
      <t>(from ATS with MDB to DB-4F-RAW at Fourth Floor )</t>
    </r>
  </si>
  <si>
    <r>
      <t xml:space="preserve">Supply, laying and both end termination of 2x1C 6mm^2 Cu/PVC/PVC Cable        + 1C 4mm^2 Cu/PVC Earth cable, through electrical cable tray (fixing to vertical cable ladder) , on duct wall, on Slab &amp; wall in PVC conduit, including PVC conduit and complete with all other relevant accessories.                                                                                                                                                                                                                                                              </t>
    </r>
    <r>
      <rPr>
        <b/>
        <sz val="11"/>
        <rFont val="Times New Roman"/>
        <family val="1"/>
      </rPr>
      <t>(from ATS with MDB to DB-RT )</t>
    </r>
  </si>
  <si>
    <r>
      <t xml:space="preserve">Supply, laying and both end termination of 2x1C 2.5mm^2 Cu/PVC/PVC Cable        + 1C 2.5mm^2 Cu/PVC Earth cable, through slab &amp; wall  in PVC conduit, including PVC conduits and complete with all other relevant accessories.                                                                                                                                                                                                                                                                </t>
    </r>
    <r>
      <rPr>
        <b/>
        <sz val="11"/>
        <rFont val="Times New Roman"/>
        <family val="1"/>
      </rPr>
      <t>(from DB-RT to Name board at Roof top )</t>
    </r>
  </si>
  <si>
    <r>
      <t xml:space="preserve">Supply, laying and both end termination of 4x1C 6mm^2 Cu/PVC/PVC Cable        + 1C 4mm^2 Cu/PVC Earth cable, through electrical cable tray (fixing to vertical cable ladder) , in PVC conduit, including PVC conduit and complete with all other relevant accessories.                                                                                                                                                                                                                                                              </t>
    </r>
    <r>
      <rPr>
        <b/>
        <sz val="11"/>
        <rFont val="Times New Roman"/>
        <family val="1"/>
      </rPr>
      <t>(from ATS with MDB to DB-UPS-IN at Third Floor)</t>
    </r>
  </si>
  <si>
    <r>
      <t xml:space="preserve">Supply, laying and both end termination of 4x1C 6mm^2 Cu/PVC/PVC Cable        + 1C 4mm^2 Cu/PVC Earth cable, through electrical cable tray (fixing to vertical cable ladder) , in PVC conduit, including PVC conduit and complete with all other relevant accessories.                                                                                                                                                                                                                                                              </t>
    </r>
    <r>
      <rPr>
        <b/>
        <sz val="11"/>
        <rFont val="Times New Roman"/>
        <family val="1"/>
      </rPr>
      <t>(from DB-UPS-IN to UPS Unit )</t>
    </r>
  </si>
  <si>
    <r>
      <t xml:space="preserve">Supply, laying and both end termination of 4x1C 6mm^2 Cu/PVC/PVC Cable        + 1C 4mm^2 Cu/PVC Earth cable, through electrical cable tray (fixing to vertical cable ladder) , in PVC conduit, including PVC conduit and complete with all other relevant accessories.                                                                                                                                                                                                                                                              </t>
    </r>
    <r>
      <rPr>
        <b/>
        <sz val="11"/>
        <rFont val="Times New Roman"/>
        <family val="1"/>
      </rPr>
      <t>(from UPS Unit  to DB-UPS-OUT )</t>
    </r>
  </si>
  <si>
    <r>
      <t xml:space="preserve">Supply, laying and both end termination of 2x1C 6mm^2 Cu/PVC/PVC Cable        + 1C 4mm^2 Cu/PVC Earth cable, through electrical cable tray (fixing to vertical cable ladder) , in PVC conduit, including PVC conduit and complete with all other relevant accessories.                                                                                                                                                                                                                                                              </t>
    </r>
    <r>
      <rPr>
        <b/>
        <sz val="11"/>
        <rFont val="Times New Roman"/>
        <family val="1"/>
      </rPr>
      <t>(from DB-UPS-OUT to DB-1F-UPS )</t>
    </r>
  </si>
  <si>
    <r>
      <t xml:space="preserve">Supply, laying and both end termination of 2x1C 4mm^2 Cu/PVC/PVC Cable        + 1C 2.5mm^2 Cu/PVC Earth cable, through electrical cable tray (fixing to vertical cable ladder) , in PVC conduit, including PVC conduit and complete with all other relevant accessories.                                                                                                                                                                                                                                                              </t>
    </r>
    <r>
      <rPr>
        <b/>
        <sz val="11"/>
        <rFont val="Times New Roman"/>
        <family val="1"/>
      </rPr>
      <t>(from DB-UPS-OUT to DB-2F-UPS )</t>
    </r>
  </si>
  <si>
    <r>
      <t xml:space="preserve">Supply, laying and both end termination of 2x1C 4mm^2 Cu/PVC/PVC Cable        + 1C 2.5mm^2 Cu/PVC Earth cable, through electrical cable tray (fixing to vertical cable ladder) , in PVC conduit, including PVC conduit and complete with all other relevant accessories.                                                                                                                                                                                                                                                              </t>
    </r>
    <r>
      <rPr>
        <b/>
        <sz val="11"/>
        <rFont val="Times New Roman"/>
        <family val="1"/>
      </rPr>
      <t>(from DB-UPS-OUT to DB-3F-UPS )</t>
    </r>
  </si>
  <si>
    <r>
      <t xml:space="preserve">Supply, laying and both end termination of 4x1C 4mm^2 Cu/PVC/PVC Cable        + 1C 2.5mm^2 Cu/PVC Earth cable, through electrical cable tray (fixing to vertical cable ladder) , in PVC conduit, including PVC conduit and complete with all other relevant accessories.                                                                                                                                                                                                                                                              </t>
    </r>
    <r>
      <rPr>
        <b/>
        <sz val="11"/>
        <rFont val="Times New Roman"/>
        <family val="1"/>
      </rPr>
      <t>(from DB-UPS-OUT to DB-3F-SR )</t>
    </r>
  </si>
  <si>
    <t>Sub Circuit &amp; Light point Wiring - for Ground Floor (DB-GF)</t>
  </si>
  <si>
    <r>
      <rPr>
        <b/>
        <sz val="11"/>
        <rFont val="Times New Roman"/>
        <family val="1"/>
      </rPr>
      <t xml:space="preserve">Point wiring for socket outlets 13A - ( 10A Circuits) </t>
    </r>
    <r>
      <rPr>
        <sz val="11"/>
        <rFont val="Times New Roman"/>
        <family val="1"/>
      </rPr>
      <t xml:space="preserve">                                                Supply, Installation &amp; wiring of 13A power Socket Outlet, by using 2x1C 1.5mm^2 Cu /PVC/PVC Cable + 1C 1.5 mm^2 Cu/PVC Earth Cable (in radial circuit) through slab &amp; wall in PVC conduits including PVC conduits, sunk box, junction box, outlet and complete with all other relevant accessories. </t>
    </r>
  </si>
  <si>
    <r>
      <rPr>
        <b/>
        <sz val="11"/>
        <rFont val="Times New Roman"/>
        <family val="1"/>
      </rPr>
      <t xml:space="preserve">Point wiring for socket outlets 13A - ( 16A Circuits)-Outdoor          </t>
    </r>
    <r>
      <rPr>
        <sz val="11"/>
        <rFont val="Times New Roman"/>
        <family val="1"/>
      </rPr>
      <t xml:space="preserve">                                                Supply, Installation &amp; wiring of 13A power Socket Outlet, by using 2x1C 2.5mm^2 Cu /PVC/PVC Cable + 1C 2.5 mm^2 Cu/PVC Earth Cable (in radial circuit) through slab &amp; wall in PVC conduits including PVC conduits, sunk box, junction box, outlet and complete with all other relevant accessories. </t>
    </r>
  </si>
  <si>
    <r>
      <rPr>
        <b/>
        <sz val="11"/>
        <rFont val="Times New Roman"/>
        <family val="1"/>
      </rPr>
      <t>Point wiring for socket outlets 13A - ( 16A Circuits) One outlet per circuit for Roller Door &amp; Car Charging</t>
    </r>
    <r>
      <rPr>
        <sz val="11"/>
        <rFont val="Times New Roman"/>
        <family val="1"/>
      </rPr>
      <t xml:space="preserve">                                                                                                               Supply, Installation &amp; wiring of 13A power Socket Outlet, by using 2x1C 2.5mm^2 Cu /PVC/PVC Cable + 1C 2.5 mm^2 Cu/PVC Earth Cable (in radial circuit) through slab &amp; wall in PVC conduits including PVC conduits, sunk box, junction box, outlet and complete with all other relevant accessories. </t>
    </r>
  </si>
  <si>
    <r>
      <rPr>
        <b/>
        <sz val="11"/>
        <rFont val="Times New Roman"/>
        <family val="1"/>
      </rPr>
      <t xml:space="preserve">Light Point Wiring (6A Circuits)-indoor  </t>
    </r>
    <r>
      <rPr>
        <sz val="11"/>
        <rFont val="Times New Roman"/>
        <family val="1"/>
      </rPr>
      <t xml:space="preserve">                                                                                        Supply &amp; Installation of light Point Wiring, by using 2x1C 1mm^2 Cu/PVC/PVC Cable + 1C 1.5 mm^2 Cu/PVC Earth Cable through slab &amp; wall in PVC conduits including PVC conduits, sunk box, junction box, 10A PVC Switch and complete with all other relevant accessories. </t>
    </r>
  </si>
  <si>
    <r>
      <rPr>
        <b/>
        <sz val="11"/>
        <rFont val="Times New Roman"/>
        <family val="1"/>
      </rPr>
      <t xml:space="preserve">Two way light Point Wiring (6A Circuits) </t>
    </r>
    <r>
      <rPr>
        <sz val="11"/>
        <rFont val="Times New Roman"/>
        <family val="1"/>
      </rPr>
      <t xml:space="preserve">                                                                                          Supply &amp; Installation of 2way light Point Wiring, by using 2x1C 1mm^2 Cu/PVC/PVC Cable + 1C 1.5 mm^2 Cu/PVC Earth Cable through slab &amp; wall in PVC conduits including PVC conduits, sunk box, junction box, 10A PVC 2 way Switches and complete with all other relevant accessories. </t>
    </r>
  </si>
  <si>
    <r>
      <rPr>
        <b/>
        <sz val="11"/>
        <rFont val="Times New Roman"/>
        <family val="1"/>
      </rPr>
      <t xml:space="preserve">Light Point Wiring (10A Circuits)-Outdoor  </t>
    </r>
    <r>
      <rPr>
        <sz val="11"/>
        <rFont val="Times New Roman"/>
        <family val="1"/>
      </rPr>
      <t xml:space="preserve">                                                                                        Supply &amp; Installation of light Point Wiring, by using 2x1C 1.5mm^2 Cu/PVC/PVC Cable + 1C 1.5 mm^2 Cu/PVC Earth Cable through slab &amp; wall in PVC conduits including PVC conduits, sunk box, junction box, 10A PVC Switch and complete with all other relevant accessories. </t>
    </r>
  </si>
  <si>
    <r>
      <rPr>
        <b/>
        <sz val="11"/>
        <rFont val="Times New Roman"/>
        <family val="1"/>
      </rPr>
      <t>Installation of light fittings-Outdoor</t>
    </r>
    <r>
      <rPr>
        <sz val="11"/>
        <rFont val="Times New Roman"/>
        <family val="1"/>
      </rPr>
      <t xml:space="preserve">                                                                                                                                                                                                                                                                          Installation of light fittings including roll plugs, screws and complete with all other relevant accessories.                                                                                                                                                                                 </t>
    </r>
  </si>
  <si>
    <r>
      <rPr>
        <b/>
        <sz val="11"/>
        <rFont val="Times New Roman"/>
        <family val="1"/>
      </rPr>
      <t>Supply of light fittings-indoor</t>
    </r>
    <r>
      <rPr>
        <sz val="11"/>
        <rFont val="Times New Roman"/>
        <family val="1"/>
      </rPr>
      <t xml:space="preserve">                                                                                                                                                                                                                                                                          Shall be maintained 350 lux level (with &gt;100 Lumen/Watt ) &amp; 6500K colour temperature</t>
    </r>
  </si>
  <si>
    <r>
      <rPr>
        <b/>
        <sz val="11"/>
        <rFont val="Times New Roman"/>
        <family val="1"/>
      </rPr>
      <t>Supply of light fittings-Outdoor</t>
    </r>
    <r>
      <rPr>
        <sz val="11"/>
        <rFont val="Times New Roman"/>
        <family val="1"/>
      </rPr>
      <t xml:space="preserve">                                                                                                                                                                                                                                                                          Shall be maintained 350 lux level (with &gt;100 Lumen/Watt ) &amp; 6500K colour temperature</t>
    </r>
  </si>
  <si>
    <r>
      <rPr>
        <b/>
        <sz val="11"/>
        <rFont val="Times New Roman"/>
        <family val="1"/>
      </rPr>
      <t xml:space="preserve">Fan Point Wiring - (6A Circuits )    </t>
    </r>
    <r>
      <rPr>
        <sz val="11"/>
        <rFont val="Times New Roman"/>
        <family val="1"/>
      </rPr>
      <t xml:space="preserve">                                                                                                                                                                                                                                                                     Supply &amp; installation of Fan Point wiring, by using 2X1C 1mm^2 Cu/PVC /PVC Cable +  1C 1.5 mm^2 Cu/PVC earth Cable through slab &amp; wall in PVC conduits including PVC conduits, junction boxes, sunk boxes, 10A PVC Switch, and complete with all other relevant accessories.</t>
    </r>
  </si>
  <si>
    <t>Sub Circuit &amp; Light point Wiring - for First Floor (DB-1F-RAW)</t>
  </si>
  <si>
    <r>
      <rPr>
        <b/>
        <sz val="11"/>
        <rFont val="Times New Roman"/>
        <family val="1"/>
      </rPr>
      <t xml:space="preserve">Light Point Wiring (6A Circuits)-indoor   </t>
    </r>
    <r>
      <rPr>
        <sz val="11"/>
        <rFont val="Times New Roman"/>
        <family val="1"/>
      </rPr>
      <t xml:space="preserve">                                                                                       Supply &amp; Installation of light Point Wiring, by using 2x1C 1mm^2 Cu/PVC/PVC Cable + 1C 1.5 mm^2 Cu/PVC Earth Cable through slab &amp; wall in PVC conduits including PVC conduits, sunk box, junction box, 10A PVC Switch and complete with all other relevant accessories. </t>
    </r>
  </si>
  <si>
    <r>
      <rPr>
        <b/>
        <sz val="11"/>
        <rFont val="Times New Roman"/>
        <family val="1"/>
      </rPr>
      <t>Installation of light fittings-indoor</t>
    </r>
    <r>
      <rPr>
        <sz val="11"/>
        <rFont val="Times New Roman"/>
        <family val="1"/>
      </rPr>
      <t xml:space="preserve">                                                                                                                                                                                                                                                                           Installation of light fittings including roll plugs, screws and complete with all other relevant accessories.                                                                                                                                                                                </t>
    </r>
  </si>
  <si>
    <r>
      <rPr>
        <b/>
        <sz val="11"/>
        <rFont val="Times New Roman"/>
        <family val="1"/>
      </rPr>
      <t>Supply of light fittings-indoor</t>
    </r>
    <r>
      <rPr>
        <sz val="11"/>
        <rFont val="Times New Roman"/>
        <family val="1"/>
      </rPr>
      <t xml:space="preserve">                                                                                                                                                                                                                                                                          Shall be maintained 350 lux level (with &gt;100 Lumen/Watt ) &amp; 6500K colour temperature                                                                                                                                                         </t>
    </r>
  </si>
  <si>
    <r>
      <rPr>
        <b/>
        <sz val="11"/>
        <rFont val="Times New Roman"/>
        <family val="1"/>
      </rPr>
      <t>Supply of light fittings-Outdoor</t>
    </r>
    <r>
      <rPr>
        <sz val="11"/>
        <rFont val="Times New Roman"/>
        <family val="1"/>
      </rPr>
      <t xml:space="preserve">                                                                                                                                                                                                                                                                          Shall be maintained 350 lux level (with &gt;100 Lumen/Watt ) &amp; 6500K colour temperature                                                                                                                                                                 </t>
    </r>
  </si>
  <si>
    <t>Sub Circuit &amp; Light point Wiring - for First Floor (DB-1F-UPS)</t>
  </si>
  <si>
    <t>Sub Circuit &amp; Light point Wiring - for Second Floor  (DB-2F-RAW)</t>
  </si>
  <si>
    <r>
      <rPr>
        <b/>
        <sz val="11"/>
        <rFont val="Times New Roman"/>
        <family val="1"/>
      </rPr>
      <t xml:space="preserve">Light Point Wiring (6A Circuits)-indoor </t>
    </r>
    <r>
      <rPr>
        <sz val="11"/>
        <rFont val="Times New Roman"/>
        <family val="1"/>
      </rPr>
      <t xml:space="preserve">                                                                                         Supply &amp; Installation of light Point Wiring, by using 2x1C 1mm^2 Cu/PVC/PVC Cable + 1C 1.5 mm^2 Cu/PVC Earth Cable through slab &amp; wall in PVC conduits including PVC conduits, sunk box, junction box, 10A PVC Switch and complete with all other relevant accessories. </t>
    </r>
  </si>
  <si>
    <r>
      <rPr>
        <b/>
        <sz val="11"/>
        <rFont val="Times New Roman"/>
        <family val="1"/>
      </rPr>
      <t xml:space="preserve">Two way light Point Wiring (6A Circuits)  </t>
    </r>
    <r>
      <rPr>
        <sz val="11"/>
        <rFont val="Times New Roman"/>
        <family val="1"/>
      </rPr>
      <t xml:space="preserve">                                                                                         Supply &amp; Installation of 2way light Point Wiring, by using 2x1C 1mm^2 Cu/PVC/PVC Cable + 1C 1.5 mm^2 Cu/PVC Earth Cable through slab &amp; wall in PVC conduits including PVC conduits, sunk box, junction box, 10A PVC 2 way Switches and complete with all other relevant accessories. </t>
    </r>
  </si>
  <si>
    <r>
      <rPr>
        <b/>
        <sz val="11"/>
        <rFont val="Times New Roman"/>
        <family val="1"/>
      </rPr>
      <t xml:space="preserve">Light Point Wiring (10A Circuits)-indoor </t>
    </r>
    <r>
      <rPr>
        <sz val="11"/>
        <rFont val="Times New Roman"/>
        <family val="1"/>
      </rPr>
      <t xml:space="preserve">                                                                                         Supply &amp; Installation of light Point Wiring, by using 2x1C 1.5mm^2 Cu/PVC/PVC Cable + 1C 1.5 mm^2 Cu/PVC Earth Cable through slab &amp; wall in PVC conduits including PVC conduits, sunk box, junction box, 10A PVC Switch and complete with all other relevant accessories. </t>
    </r>
  </si>
  <si>
    <r>
      <rPr>
        <b/>
        <sz val="11"/>
        <rFont val="Times New Roman"/>
        <family val="1"/>
      </rPr>
      <t>Installation of light fittings-indoor</t>
    </r>
    <r>
      <rPr>
        <sz val="11"/>
        <rFont val="Times New Roman"/>
        <family val="1"/>
      </rPr>
      <t xml:space="preserve">                                                                                                                                                                                                                                                                           Installation of light fittings including roll plugs, screws and complete with all other relevant accessories.</t>
    </r>
    <r>
      <rPr>
        <b/>
        <sz val="11"/>
        <rFont val="Times New Roman"/>
        <family val="1"/>
      </rPr>
      <t xml:space="preserve"> </t>
    </r>
    <r>
      <rPr>
        <sz val="11"/>
        <rFont val="Times New Roman"/>
        <family val="1"/>
      </rPr>
      <t xml:space="preserve">                                                                                                                                                                                 </t>
    </r>
  </si>
  <si>
    <r>
      <rPr>
        <b/>
        <sz val="11"/>
        <rFont val="Times New Roman"/>
        <family val="1"/>
      </rPr>
      <t>Supply of light fittings-indoor -Type 01</t>
    </r>
    <r>
      <rPr>
        <sz val="11"/>
        <rFont val="Times New Roman"/>
        <family val="1"/>
      </rPr>
      <t xml:space="preserve"> (at Electrical Lab, Dimention Lab &amp; Thermal Lab)                                                                                                                                                                                                                                                                     Shall be maintained 1000 lux level (with &gt;100 Lumen/Watt ) &amp; 6500K colour temperature                                                                                                                                                       </t>
    </r>
  </si>
  <si>
    <r>
      <t>Supply of light fittings-indoor - Type 02</t>
    </r>
    <r>
      <rPr>
        <sz val="11"/>
        <rFont val="Times New Roman"/>
        <family val="1"/>
      </rPr>
      <t xml:space="preserve"> (at Dimention Lab)                                                                                                                                                                                                                                                                     Shall be maintained 1000 lux level (with &gt;100 Lumen/Watt ) &amp; 6500K colour temperature     </t>
    </r>
  </si>
  <si>
    <r>
      <rPr>
        <b/>
        <sz val="11"/>
        <rFont val="Times New Roman"/>
        <family val="1"/>
      </rPr>
      <t>Supply of light fittings-indoor</t>
    </r>
    <r>
      <rPr>
        <sz val="11"/>
        <rFont val="Times New Roman"/>
        <family val="1"/>
      </rPr>
      <t xml:space="preserve">                                                                                                                                                                                                                                                                          Shall be maintained 350 lux level (with &gt;100 Lumen/Watt ) &amp; 6500K colour temperature                                                                                                                                                     </t>
    </r>
  </si>
  <si>
    <r>
      <rPr>
        <b/>
        <sz val="11"/>
        <rFont val="Times New Roman"/>
        <family val="1"/>
      </rPr>
      <t>Supply of light fittings-Outdoor</t>
    </r>
    <r>
      <rPr>
        <sz val="11"/>
        <rFont val="Times New Roman"/>
        <family val="1"/>
      </rPr>
      <t xml:space="preserve">                                                                                                                                                                                                                                                                          Shall be maintained 350 lux level (with &gt;100 Lumen/Watt ) &amp; 6500K colour temperature                                                                                                                                       </t>
    </r>
  </si>
  <si>
    <t>Sub Circuit &amp; Light point Wiring - for Second Floor (DB-2F-UPS)</t>
  </si>
  <si>
    <t>Sub Circuit &amp; Light point Wiring - for 3rd Floor (DB-3F-RAW)</t>
  </si>
  <si>
    <r>
      <rPr>
        <b/>
        <sz val="11"/>
        <rFont val="Times New Roman"/>
        <family val="1"/>
      </rPr>
      <t>Supply of light fittings-indoor</t>
    </r>
    <r>
      <rPr>
        <sz val="11"/>
        <rFont val="Times New Roman"/>
        <family val="1"/>
      </rPr>
      <t xml:space="preserve">                                                                                                                                                                                                                                                                          Shall be maintained 350 lux level (with &gt;100 Lumen/Watt ) &amp; 6500K colour temperature                                                                                                                                                                    </t>
    </r>
  </si>
  <si>
    <r>
      <rPr>
        <b/>
        <sz val="11"/>
        <rFont val="Times New Roman"/>
        <family val="1"/>
      </rPr>
      <t>Supply of light fittings-Outdoor</t>
    </r>
    <r>
      <rPr>
        <sz val="11"/>
        <rFont val="Times New Roman"/>
        <family val="1"/>
      </rPr>
      <t xml:space="preserve">                                                                                                                                                                                                                                                                          Shall be maintained 350 lux level (with &gt;100 Lumen/Watt ) &amp; 6500K colour temperature                                                                                                                                                       </t>
    </r>
  </si>
  <si>
    <t>Sub Circuit &amp; Light point Wiring - for Third Floor (DB-3F-UPS)</t>
  </si>
  <si>
    <t>Sub Circuit &amp; Light point Wiring - for Third Floor (DB-UPS-OUT-SR)      at Server Room</t>
  </si>
  <si>
    <t>Sub Circuit &amp; Light point Wiring - for 4th Floor (DB-4F-RAW)</t>
  </si>
  <si>
    <r>
      <rPr>
        <b/>
        <sz val="11"/>
        <rFont val="Times New Roman"/>
        <family val="1"/>
      </rPr>
      <t>Supply of light fittings-indoor</t>
    </r>
    <r>
      <rPr>
        <sz val="11"/>
        <rFont val="Times New Roman"/>
        <family val="1"/>
      </rPr>
      <t xml:space="preserve">                                                                                                                                                                                                                                                                          Shall be maintained 350 lux level (with &gt;100 Lumen/Watt ) &amp; 6500K colour temperature                                                                                                                                                               </t>
    </r>
  </si>
  <si>
    <r>
      <rPr>
        <b/>
        <sz val="11"/>
        <rFont val="Times New Roman"/>
        <family val="1"/>
      </rPr>
      <t>Supply of light fittings-Outdoor</t>
    </r>
    <r>
      <rPr>
        <sz val="11"/>
        <rFont val="Times New Roman"/>
        <family val="1"/>
      </rPr>
      <t xml:space="preserve">                                                                                                                                                                                                                                                                          Shall be maintained 350 lux level (with &gt;100 Lumen/Watt ) &amp; 6500K colour temperature                                                                                                                                                                     </t>
    </r>
  </si>
  <si>
    <t>Sub Circuit &amp; Light point Wiring - for Roof Terrace (DB-RT)</t>
  </si>
  <si>
    <r>
      <rPr>
        <b/>
        <sz val="11"/>
        <rFont val="Times New Roman"/>
        <family val="1"/>
      </rPr>
      <t xml:space="preserve">Point wiring for socket outlets 13A - ( 10A Circuits)          </t>
    </r>
    <r>
      <rPr>
        <sz val="11"/>
        <rFont val="Times New Roman"/>
        <family val="1"/>
      </rPr>
      <t xml:space="preserve">                                                Supply, Installation &amp; wiring of 13A power Socket Outlet, by using 2x1C 1.5mm^2 Cu /PVC/PVC Cable + 1C 1.5 mm^2 Cu/PVC Earth Cable (in radial circuit) through slab &amp; wall in PVC conduits including PVC conduits, sunk box, junction box, outlet and complete with all other relevant accessories. </t>
    </r>
  </si>
  <si>
    <r>
      <rPr>
        <b/>
        <sz val="11"/>
        <rFont val="Times New Roman"/>
        <family val="1"/>
      </rPr>
      <t>Point wiring for socket outlets 13A - ( 16A Circuits) One outlet per circuit for Booster Pump</t>
    </r>
    <r>
      <rPr>
        <sz val="11"/>
        <rFont val="Times New Roman"/>
        <family val="1"/>
      </rPr>
      <t xml:space="preserve">                                                                                                               Supply, Installation &amp; wiring of 13A power Socket Outlet, by using 2x1C 2.5mm^2 Cu /PVC/PVC Cable + 1C 2.5 mm^2 Cu/PVC Earth Cable (in radial circuit) through slab &amp; wall in PVC conduits including PVC conduits, sunk box, junction box, outlet and complete with all other relevant accessories. </t>
    </r>
  </si>
  <si>
    <r>
      <rPr>
        <b/>
        <sz val="11"/>
        <rFont val="Times New Roman"/>
        <family val="1"/>
      </rPr>
      <t>Supply of light fittings-indoor</t>
    </r>
    <r>
      <rPr>
        <sz val="11"/>
        <rFont val="Times New Roman"/>
        <family val="1"/>
      </rPr>
      <t xml:space="preserve">                                                                                                                                                                                                                                                                          Shall be maintained 350 lux level (with &gt;100 Lumen/Watt ) &amp; 6500K colour temperature                                                                                                                                                                 </t>
    </r>
  </si>
  <si>
    <r>
      <rPr>
        <b/>
        <sz val="11"/>
        <rFont val="Times New Roman"/>
        <family val="1"/>
      </rPr>
      <t>Supply of light fittings-Outdoor</t>
    </r>
    <r>
      <rPr>
        <sz val="11"/>
        <rFont val="Times New Roman"/>
        <family val="1"/>
      </rPr>
      <t xml:space="preserve">                                                                                                                                                                                                                                                                          Shall be maintained 350 lux level (with &gt;100 Lumen/Watt ) &amp; 6500K colour temperature                                                                                                                                                             </t>
    </r>
  </si>
  <si>
    <t>Sub Circuit &amp; Light Point Wiring -DB-LIFT</t>
  </si>
  <si>
    <r>
      <rPr>
        <b/>
        <sz val="11"/>
        <rFont val="Times New Roman"/>
        <family val="1"/>
      </rPr>
      <t xml:space="preserve">Point wiring for socket outlets 13A - ( 10A Circuits)  </t>
    </r>
    <r>
      <rPr>
        <sz val="11"/>
        <rFont val="Times New Roman"/>
        <family val="1"/>
      </rPr>
      <t xml:space="preserve">                                                Supply, Installation &amp; wiring of 13A power Socket Outlet, by using 2x1C 1.5mm^2 Cu /PVC/PVC Cable + 1C 1.5 mm^2 Cu/PVC Earth Cable (in radial circuit) through slab &amp; wall in PVC conduits including PVC conduits, sunk box, junction box, outlet and complete with all other relevant accessories. </t>
    </r>
  </si>
  <si>
    <r>
      <rPr>
        <b/>
        <sz val="11"/>
        <rFont val="Times New Roman"/>
        <family val="1"/>
      </rPr>
      <t xml:space="preserve">Light Point Wiring (6A Circuits) </t>
    </r>
    <r>
      <rPr>
        <sz val="11"/>
        <rFont val="Times New Roman"/>
        <family val="1"/>
      </rPr>
      <t xml:space="preserve">                                                                                         Supply &amp; Installation of light Point Wiring, by using 2x1C 1mm^2 Cu/PVC/PVC Cable + 1C 1.5 mm^2 Cu/PVC Earth Cable through slab &amp; wall in PVC conduits including PVC conduits, sunk box, junction box, 10A PVC Switch and complete with all other relevant accessories. </t>
    </r>
  </si>
  <si>
    <r>
      <rPr>
        <b/>
        <sz val="11"/>
        <rFont val="Times New Roman"/>
        <family val="1"/>
      </rPr>
      <t>Installation of light fittings</t>
    </r>
    <r>
      <rPr>
        <sz val="11"/>
        <rFont val="Times New Roman"/>
        <family val="1"/>
      </rPr>
      <t xml:space="preserve">                                                                                                                                                                                                                                                                           Installation of light fittings including roll plugs, screws and complete with all other relevant accessories.                                                                                                                                                                                 </t>
    </r>
  </si>
  <si>
    <t>GENERAL EARTHING  SYSTEM</t>
  </si>
  <si>
    <t>Supply &amp; Installation of 2'x2' Cu plate buried at 2400mm length and connected to the main earth bar at ATS with MDB by 3x25mm Cu tape and all other relevant accessories with earth Inspection pit for testing.</t>
  </si>
  <si>
    <t xml:space="preserve">Cable Ladder System 1 For Electrical </t>
  </si>
  <si>
    <t>Supply &amp; Installation of 200mm wide, 50mm height vertical cable ladder made with 1.2mm thickness sheet steel and finished with powder epoxy paint and fixed to wall at every one meter length and complete with nut &amp; bolts and all other relevant accessories</t>
  </si>
  <si>
    <t xml:space="preserve">Meter </t>
  </si>
  <si>
    <t xml:space="preserve">Cable Ladder System 2 For ELV   </t>
  </si>
  <si>
    <r>
      <rPr>
        <b/>
        <sz val="11"/>
        <rFont val="Times New Roman"/>
        <family val="1"/>
      </rPr>
      <t xml:space="preserve">Cable Ladder System 3                                                                                                                                                                                                                                                                                            </t>
    </r>
    <r>
      <rPr>
        <sz val="11"/>
        <rFont val="Times New Roman"/>
        <family val="1"/>
      </rPr>
      <t>Supply , Installation of 100mm wide, 50mm height vertical cable ladder made with 1.2 mm thickness sheet steel and finished with powder epoxy paint and fixed to wall at every one meter length and complete with nut &amp; belts and all other relevant accessories</t>
    </r>
  </si>
  <si>
    <r>
      <rPr>
        <b/>
        <sz val="11"/>
        <rFont val="Times New Roman"/>
        <family val="1"/>
      </rPr>
      <t xml:space="preserve">Cable Trunking ( with top Cover) System 1                                                                         (refer drawing no RC/HH/MG/EL/19-24)                                                                                                                                                                                                                               </t>
    </r>
    <r>
      <rPr>
        <sz val="11"/>
        <rFont val="Times New Roman"/>
        <family val="1"/>
      </rPr>
      <t>Supply , Installation of 300mm wide; 50mm depth horizontal, vertical cable trunking (with Top Cover plate) made with 2.0mm thickness sheet and finished with powder epoxy paint and fixed to soffit with angle  iron brackets at every one meter length.  and complete with bends, joints, thread bars, nut &amp; bolts and all other relevant accessories.(For electrical cables up to vertical duct)</t>
    </r>
  </si>
  <si>
    <r>
      <rPr>
        <b/>
        <sz val="11"/>
        <rFont val="Times New Roman"/>
        <family val="1"/>
      </rPr>
      <t xml:space="preserve">Cable Trunking ( with top Cover) System 2                                                                        (refer drawing no RC/HH/MG/EL/19-24)                                                                                                                                                                                                                                    </t>
    </r>
    <r>
      <rPr>
        <sz val="11"/>
        <rFont val="Times New Roman"/>
        <family val="1"/>
      </rPr>
      <t>Supply , Installation of 100mm wide; 50mm depth horizontal, vertical cable trunking  (with Top Cover plate) made with 1.2 mm thickness sheet and finished with powder epoxy paint and fixed to soffit with angle  iron brackets at every one meter length.  and complete with bends, joints, thread bars, nut &amp; bolts and all other relevant accessories.</t>
    </r>
  </si>
  <si>
    <t xml:space="preserve">Ground Floor </t>
  </si>
  <si>
    <t xml:space="preserve">First Floor </t>
  </si>
  <si>
    <t xml:space="preserve">Second Floor </t>
  </si>
  <si>
    <t xml:space="preserve">Third Floor </t>
  </si>
  <si>
    <t xml:space="preserve">Fourth Floor </t>
  </si>
  <si>
    <t>Supply , Installation of 25mm GI pipe to light/power points at every one meter length. and complete with bends, Junction box and all other relevant accessories.(Provisional)</t>
  </si>
  <si>
    <r>
      <rPr>
        <b/>
        <sz val="11"/>
        <rFont val="Times New Roman"/>
        <family val="1"/>
      </rPr>
      <t>Covering duct free Space</t>
    </r>
    <r>
      <rPr>
        <sz val="11"/>
        <rFont val="Times New Roman"/>
        <family val="1"/>
      </rPr>
      <t xml:space="preserve">                                                                                                                                                                                                                     Supply and installation of checker plate with fire proof materials to cover remaining spaces inside all Electrical, ELV, Fire and complete with all other relevant accessories</t>
    </r>
  </si>
  <si>
    <r>
      <rPr>
        <b/>
        <sz val="11"/>
        <rFont val="Times New Roman"/>
        <family val="1"/>
      </rPr>
      <t>Testing and commissioning of the system</t>
    </r>
    <r>
      <rPr>
        <sz val="11"/>
        <rFont val="Times New Roman"/>
        <family val="1"/>
      </rPr>
      <t xml:space="preserve">; Need to perform standardized tests as per IET wiring regulations;18th Edition &amp; submit the certified test certificate for the total installation. Test result reports shall be submitted by the contractor after completion of works.                                                                                                                                                              </t>
    </r>
  </si>
  <si>
    <t>Contractor need to submit, schematic drawings, design details, and data sheets of all items with tender document.</t>
  </si>
  <si>
    <t>Supply &amp; Installation of UPVC Pipe for SLT cable</t>
  </si>
  <si>
    <t xml:space="preserve">Supply &amp; Installation of 100mm UPVC Pipe (type 1000) for SLT cable buried in ground including all civil works &amp; other relevant accessories. </t>
  </si>
  <si>
    <t xml:space="preserve">Shop Drawings </t>
  </si>
  <si>
    <t>Need to submit shop drawings and get approval from the consultant engineer before installation &amp; starting of relevant works</t>
  </si>
  <si>
    <t>As Built Drawings</t>
  </si>
  <si>
    <t>Submission of chartered engineer certified as built drawings for the total installation</t>
  </si>
  <si>
    <t>Any Other Items</t>
  </si>
  <si>
    <t>Provide for any other item/s of electrical distribution system not listed above which in the opinion of bidder required as per the contract for the proper execution and completion of the works. Bidder need to specify the items in adequate details and each item to be priced separately.</t>
  </si>
  <si>
    <t>TOTAL in LKR  (WITHOUT TAX)</t>
  </si>
  <si>
    <t>Need to mention proposed brands for below items.                                                                                                                                                                                                                                  (need to be filled by bidder)</t>
  </si>
  <si>
    <r>
      <t xml:space="preserve">MCB  - </t>
    </r>
    <r>
      <rPr>
        <sz val="11"/>
        <rFont val="Times New Roman"/>
        <family val="1"/>
      </rPr>
      <t>………………………………………………………..</t>
    </r>
  </si>
  <si>
    <r>
      <t xml:space="preserve">RCCB- </t>
    </r>
    <r>
      <rPr>
        <sz val="11"/>
        <rFont val="Times New Roman"/>
        <family val="1"/>
      </rPr>
      <t>………………………………………………………………….</t>
    </r>
  </si>
  <si>
    <r>
      <t xml:space="preserve">MCCB </t>
    </r>
    <r>
      <rPr>
        <sz val="11"/>
        <rFont val="Times New Roman"/>
        <family val="1"/>
      </rPr>
      <t>- ………………………………………………………………….</t>
    </r>
  </si>
  <si>
    <r>
      <t>EFR</t>
    </r>
    <r>
      <rPr>
        <sz val="11"/>
        <rFont val="Times New Roman"/>
        <family val="1"/>
      </rPr>
      <t xml:space="preserve"> - ………………………………………………………………….</t>
    </r>
  </si>
  <si>
    <r>
      <t>PFR</t>
    </r>
    <r>
      <rPr>
        <sz val="11"/>
        <rFont val="Times New Roman"/>
        <family val="1"/>
      </rPr>
      <t xml:space="preserve"> -  ………………………………………………………………….</t>
    </r>
  </si>
  <si>
    <r>
      <t>Power Cables</t>
    </r>
    <r>
      <rPr>
        <sz val="11"/>
        <rFont val="Times New Roman"/>
        <family val="1"/>
      </rPr>
      <t xml:space="preserve"> - …………………………………………………………</t>
    </r>
  </si>
  <si>
    <r>
      <t>SPD</t>
    </r>
    <r>
      <rPr>
        <sz val="11"/>
        <rFont val="Times New Roman"/>
        <family val="1"/>
      </rPr>
      <t xml:space="preserve"> - …………………………………………………………………….</t>
    </r>
  </si>
  <si>
    <r>
      <t>Current Transformers</t>
    </r>
    <r>
      <rPr>
        <sz val="11"/>
        <rFont val="Times New Roman"/>
        <family val="1"/>
      </rPr>
      <t xml:space="preserve"> – ……………………………………………….</t>
    </r>
  </si>
  <si>
    <r>
      <t>Phase Indicators ( LED type)</t>
    </r>
    <r>
      <rPr>
        <sz val="11"/>
        <rFont val="Times New Roman"/>
        <family val="1"/>
      </rPr>
      <t xml:space="preserve"> – ……………………………………….</t>
    </r>
  </si>
  <si>
    <r>
      <t>Distribution Boards</t>
    </r>
    <r>
      <rPr>
        <sz val="11"/>
        <rFont val="Times New Roman"/>
        <family val="1"/>
      </rPr>
      <t xml:space="preserve"> - …………………………………………………..</t>
    </r>
  </si>
  <si>
    <r>
      <t>PVC Conduits and Junction Boxes, Sunk Boxes</t>
    </r>
    <r>
      <rPr>
        <sz val="11"/>
        <rFont val="Times New Roman"/>
        <family val="1"/>
      </rPr>
      <t xml:space="preserve"> –  ………………..</t>
    </r>
  </si>
  <si>
    <r>
      <t xml:space="preserve">Switches </t>
    </r>
    <r>
      <rPr>
        <sz val="11"/>
        <rFont val="Times New Roman"/>
        <family val="1"/>
      </rPr>
      <t>– ……………………………………………………………….</t>
    </r>
  </si>
  <si>
    <r>
      <t xml:space="preserve">Power / Telephone Outlets </t>
    </r>
    <r>
      <rPr>
        <sz val="11"/>
        <rFont val="Times New Roman"/>
        <family val="1"/>
      </rPr>
      <t>– ……………………………………….</t>
    </r>
  </si>
  <si>
    <r>
      <t>Panel Board Power Analyzer / Digital kWh Meter</t>
    </r>
    <r>
      <rPr>
        <sz val="11"/>
        <rFont val="Times New Roman"/>
        <family val="1"/>
      </rPr>
      <t xml:space="preserve"> - ………………………</t>
    </r>
  </si>
  <si>
    <r>
      <t xml:space="preserve">Fire resistant cables - </t>
    </r>
    <r>
      <rPr>
        <sz val="11"/>
        <rFont val="Times New Roman"/>
        <family val="1"/>
      </rPr>
      <t>…………………………………………………..</t>
    </r>
  </si>
  <si>
    <r>
      <t xml:space="preserve">Cable Trays, Trunking and Ladders- </t>
    </r>
    <r>
      <rPr>
        <sz val="11"/>
        <rFont val="Times New Roman"/>
        <family val="1"/>
      </rPr>
      <t>…………………………………..</t>
    </r>
  </si>
  <si>
    <t>This is Measure and pay contract. Bidders are advised to carefully refer and understand all  drawings, specifications and general notes before submission of their quotation and proposal.</t>
  </si>
  <si>
    <t>It’s bidders’ responsibility to refer drawings, relevant specifications and general notes thereby calculate actual quantities.</t>
  </si>
  <si>
    <r>
      <t xml:space="preserve">If any discrepancy identified, bidder should verify the same with client/consultant engineer </t>
    </r>
    <r>
      <rPr>
        <b/>
        <sz val="11"/>
        <rFont val="Times New Roman"/>
        <family val="1"/>
      </rPr>
      <t>before submission</t>
    </r>
    <r>
      <rPr>
        <sz val="11"/>
        <rFont val="Times New Roman"/>
        <family val="1"/>
      </rPr>
      <t xml:space="preserve"> of final quotation and proposal tender.</t>
    </r>
  </si>
  <si>
    <t>Name of the Company: ………………………………………………….</t>
  </si>
  <si>
    <t xml:space="preserve">Name and Signature of Authorized personnel: …………………………………………………. </t>
  </si>
  <si>
    <t>Rubber Stamp: ………………………………….</t>
  </si>
  <si>
    <t>Date: ………….…………………….</t>
  </si>
  <si>
    <r>
      <rPr>
        <b/>
        <sz val="11"/>
        <rFont val="Times New Roman"/>
        <family val="1"/>
      </rPr>
      <t xml:space="preserve">Supply &amp; Installation of ceiling fans- Brand - KDK (model need to be finalized with architect)   </t>
    </r>
    <r>
      <rPr>
        <sz val="11"/>
        <rFont val="Times New Roman"/>
        <family val="1"/>
      </rPr>
      <t xml:space="preserve">                                                                                                                                                                                                                                                                      Supply &amp; Installation of ceiling fan (Diameter-56") and speed regulator with roll plugs, screws, metal hooks (Fan hook need to be passed through the slab and properly  connected) and complete with all other relevant accessories.  (Prime cost is Rs.25,500.00)</t>
    </r>
  </si>
  <si>
    <r>
      <rPr>
        <b/>
        <sz val="11"/>
        <rFont val="Times New Roman"/>
        <family val="1"/>
      </rPr>
      <t xml:space="preserve">Supply &amp; Installation of ceiling fans- Brand - KDK (model need to be finalized with architect)   </t>
    </r>
    <r>
      <rPr>
        <sz val="11"/>
        <rFont val="Times New Roman"/>
        <family val="1"/>
      </rPr>
      <t xml:space="preserve">                                                                                                                                                                                                                                                                      Supply &amp; Installation of ceiling fan (Diameter-56") and speed regulator with roll plugs, screws, metal hooks (Fan hook need to be passed through the slab and properly  connected) and complete with all other relevant accessories. (Prime cost is Rs.25,500.00)</t>
    </r>
  </si>
  <si>
    <t>Supply, Installation, Testing and Commissioning of Lightning Protection System.</t>
  </si>
  <si>
    <t>Proposed Building For Hiroshan Hettiarachchi at Maharagama,</t>
  </si>
  <si>
    <t>BoQ and Specifications for Lightning Protection System.</t>
  </si>
  <si>
    <t>Specifications and General Notes for LPS Installation</t>
  </si>
  <si>
    <t>This is Measure and Pay Contract. All items should be checked, measured and verified with relevant drawings.</t>
  </si>
  <si>
    <t>Contractor must check the actual length @ site, before purchasing and start cable laying/implementation.</t>
  </si>
  <si>
    <t>As this is measure and pay contract, Bidders are advised to carefully refer and understand all  drawings, specifications and general notes before submission of their quotation and proposal.</t>
  </si>
  <si>
    <t>It’s bidders’ responsibility to refer drawings, relevant specifications and general notes thereby check and verify quantities.</t>
  </si>
  <si>
    <t>The Tenderer shall investigate the site conditions for the lightning protection system installation before submitting their quote and ensure that installation shall comply with BS6651 / IEC-62305</t>
  </si>
  <si>
    <t xml:space="preserve">Rates shall include all Preliminary Expenses, Insurances, overheads and Profit. </t>
  </si>
  <si>
    <t>Tenderer shall submit the Country of Manufacture/Make Model of items quoted with their tender submission with Catalogues for Major items.</t>
  </si>
  <si>
    <t>Tenderer shall check the quantities and items specified in the BOQ  and any discrepancies shall be informed to the consulting engineer. Prices for  any of the missing items shall be included in the space provided.</t>
  </si>
  <si>
    <t>Contractor ensure to connect all metal parts at roof top                                                                                                                                                                                                                                  (ex: AC Outdoors, Name Boards, Metal Frames) to copper tape to maintain equipotential bonding.</t>
  </si>
  <si>
    <t>Contractor ensure to keep adequate distance between earth pit and personnel walking area in order to avoid step potential effects.</t>
  </si>
  <si>
    <t>Contractor shall submit, Inspection and Test Certificate from Chartered Electrical Engineer after completion of the installation.</t>
  </si>
  <si>
    <t>RECOMMENDED BRANDS OF ITEMS</t>
  </si>
  <si>
    <t>CU Tape : ACL, Metrod (Malaysia) or equivalent                                                                                                                                                                                                                                                                                                                ( need consultant's approval)</t>
  </si>
  <si>
    <t>DC Clips : Hex or equivalent ( need consultant's approval)</t>
  </si>
  <si>
    <t>Air Terminal : Furse, Metrod (Malaysia), Hex or equivalent                                                                                                                                                                                                                                                                                                                                                                                                                                                                                                                                                                                                                                                                                                                                                                                                                                ( need consultant's approval)</t>
  </si>
  <si>
    <t>Test Box : Imported or locally manufactured upto standards                                                                                                                                                                                                                                                                                                                                                                                                                                                                                                                                                                                                                                                                                                                                                                                                                                   (need consultant's approval)</t>
  </si>
  <si>
    <t>MS Rod : Lanwa or equivalent                                                                                                                                                                                                                                                                                                                                                                                                                                                                                                                                                                                                                                                                                                                                                                                                                                ( need consultant's approval)</t>
  </si>
  <si>
    <t>6</t>
  </si>
  <si>
    <t xml:space="preserve">CU Rod/Plate : ACL,HEX or equivalent                                                                                                                                                                                                                                                                                                                                                                                                           ( need consultant's approval)                                                                                                                                  </t>
  </si>
  <si>
    <t>(For all materials &amp; accessories need to get consultant's approval before proceed.)</t>
  </si>
  <si>
    <t>LIGHTNING PROTECTION SYSTEM</t>
  </si>
  <si>
    <t>Supply and Installation of; 3mm X 25mm copper tape from air terminals upto 16mm MS rod laid inside columns (including ring system at roof ,all horizontally &amp; vertically driven CU tape parts) &amp; Cu tape pieces at test boxes  including DC clips, clamps, screws &amp; complete with all other relevant accessories.</t>
  </si>
  <si>
    <t>Meter</t>
  </si>
  <si>
    <t>Supply and Installation of ; 500mm length cu air terminal on 2m height GI mast at roof top level  including GI base plate,nuts &amp; bolts, stiffeners &amp; complete with all other relevant  accessories.</t>
  </si>
  <si>
    <t>Each mild steel bars and mild steel bars to steel reinforcement shall securely bonded by standard clamps at every 2m length.</t>
  </si>
  <si>
    <t>Supply and Installation of; 16mm dia mild steel bar ring system at ground floor slab that connected all MS rod down conductors together using standardized bonding/clamps including MS rods, clamps &amp; complete with all other relevant accessories.</t>
  </si>
  <si>
    <t xml:space="preserve">Supply and Installation of; 16mm dia mild steel bar ring system at roof terrace slab that connected to all MS rod down conductors together using standardized bonding/clamps including MS rods, clamps &amp; complete with all other relevant accessories. </t>
  </si>
  <si>
    <r>
      <t xml:space="preserve">Supply and Installation of; 16mm dia mild steel bars as down conductors from raft foundation level at ground level upto roof terrace level inside columns. Each mild steel bar shall be securely bonded to reinforcement by standard clamps at every 2m length. </t>
    </r>
    <r>
      <rPr>
        <b/>
        <sz val="11"/>
        <rFont val="Times New Roman"/>
        <family val="1"/>
      </rPr>
      <t xml:space="preserve">MS bars shall be welded properly over 900mm lap length.    </t>
    </r>
  </si>
  <si>
    <t>Supply and Installation of 20mm dia 2400mm length Cu rod buried to a depth of 2400 mm &amp; connected with copper tape using standardized clamps, nut and bolts, c/w Earth inspection pit, all excavation &amp; soil improvement materials.</t>
  </si>
  <si>
    <t>Supply and Installation of Test Clamp (Test Joint) with 2 Nos 12mm dia stainless steel nuts and bolts, Metal enclosure with front cover (with warning mark symbol on front) at ground level &amp; complete with all other relevant accessories.</t>
  </si>
  <si>
    <r>
      <rPr>
        <b/>
        <sz val="11"/>
        <rFont val="Times New Roman"/>
        <family val="1"/>
      </rPr>
      <t xml:space="preserve">Testing &amp; Commissioning; </t>
    </r>
    <r>
      <rPr>
        <sz val="11"/>
        <rFont val="Times New Roman"/>
        <family val="1"/>
      </rPr>
      <t>Total installation shall be tested by the contractor after completion of the work. Also need to  test the earth resistance after installation and shall be less than 10 Ohms (if required need to add soil improvement materials &amp; achieve the recommended earth resistance).Certified test report need to be submitted for the installation.</t>
    </r>
  </si>
  <si>
    <t>Total system should have at least one year warranty period, also need to provide manufacturer's warranty for relevant accessories.</t>
  </si>
  <si>
    <t>As Built drawing</t>
  </si>
  <si>
    <t>Submit of chartered engineer certified as built drawings for total installation.</t>
  </si>
  <si>
    <t>Shop drawing</t>
  </si>
  <si>
    <t>Submit of shop drawings get approval before installation and start relevant works.</t>
  </si>
  <si>
    <t>Provide for any other item/s of  lighting protection system not listed above which in the opinion of Bidder  required as per the Contract for the proper execution and completion of the Works. Bidder to specify the items in adequate details and each item to be priced separately.</t>
  </si>
  <si>
    <t>Total ( without Tax) Rs:</t>
  </si>
  <si>
    <t>Rs</t>
  </si>
  <si>
    <t>Need to mention proposed brands for below items.                             (need to filled by bidder)</t>
  </si>
  <si>
    <r>
      <rPr>
        <b/>
        <sz val="11"/>
        <rFont val="Times New Roman"/>
        <family val="1"/>
      </rPr>
      <t>CU Tape</t>
    </r>
    <r>
      <rPr>
        <sz val="11"/>
        <rFont val="Times New Roman"/>
        <family val="1"/>
      </rPr>
      <t xml:space="preserve">       :- ……………………………………………….   </t>
    </r>
  </si>
  <si>
    <r>
      <rPr>
        <b/>
        <sz val="11"/>
        <rFont val="Times New Roman"/>
        <family val="1"/>
      </rPr>
      <t>CU Rod</t>
    </r>
    <r>
      <rPr>
        <sz val="11"/>
        <rFont val="Times New Roman"/>
        <family val="1"/>
      </rPr>
      <t xml:space="preserve">       :- ……………………………………………….   </t>
    </r>
  </si>
  <si>
    <r>
      <rPr>
        <b/>
        <sz val="11"/>
        <rFont val="Times New Roman"/>
        <family val="1"/>
      </rPr>
      <t xml:space="preserve">DC Clips </t>
    </r>
    <r>
      <rPr>
        <sz val="11"/>
        <rFont val="Times New Roman"/>
        <family val="1"/>
      </rPr>
      <t xml:space="preserve">      :- ……………………………………………….  </t>
    </r>
  </si>
  <si>
    <r>
      <rPr>
        <b/>
        <sz val="11"/>
        <rFont val="Times New Roman"/>
        <family val="1"/>
      </rPr>
      <t>Air Terminal</t>
    </r>
    <r>
      <rPr>
        <sz val="11"/>
        <rFont val="Times New Roman"/>
        <family val="1"/>
      </rPr>
      <t xml:space="preserve"> :- ……………………………………………….  </t>
    </r>
  </si>
  <si>
    <r>
      <rPr>
        <b/>
        <sz val="11"/>
        <rFont val="Times New Roman"/>
        <family val="1"/>
      </rPr>
      <t>Test Box</t>
    </r>
    <r>
      <rPr>
        <sz val="11"/>
        <rFont val="Times New Roman"/>
        <family val="1"/>
      </rPr>
      <t xml:space="preserve">       :- ……………………………………………….  </t>
    </r>
  </si>
  <si>
    <r>
      <rPr>
        <b/>
        <sz val="11"/>
        <rFont val="Times New Roman"/>
        <family val="1"/>
      </rPr>
      <t>MS Rod</t>
    </r>
    <r>
      <rPr>
        <sz val="11"/>
        <rFont val="Times New Roman"/>
        <family val="1"/>
      </rPr>
      <t xml:space="preserve">      :- ……………………………………………….  </t>
    </r>
  </si>
  <si>
    <t>AMOUNT</t>
  </si>
  <si>
    <t xml:space="preserve">Supply, Installation, Testing and Commissioning of CCTV System </t>
  </si>
  <si>
    <t xml:space="preserve">BoQ and Specifications for CCTV System </t>
  </si>
  <si>
    <t>This Bills of Quantities shall be read in conjunction with all the other Bid Documents. All such provisions shall be included in rates and prices as applicable.</t>
  </si>
  <si>
    <t>This is a Measure &amp; Pay Contract. All items should be checked, measured and verified with relevant drawings.</t>
  </si>
  <si>
    <t>Contractor must read the specifications, general notes given and submit the quotation accordingly.</t>
  </si>
  <si>
    <t>As this is a Measure &amp; Pay Contract, Bidders are advised to carefully refer and understand all  drawings, specifications and general notes before submission of their quotation and proposal.</t>
  </si>
  <si>
    <t>Contractor must submit shop drawings and get approval before start fabrication and installation.</t>
  </si>
  <si>
    <t>Contractor must submit brands and specifications of all items and get approval before start fabrication and installation.</t>
  </si>
  <si>
    <t>Recommended Brands of Items</t>
  </si>
  <si>
    <t>Camera-Hikvision,Dahua  or equivalent ( need consultant's approval)</t>
  </si>
  <si>
    <t>NVR-Hikvision,Dahua  or equivalent ( need consultant's approval)</t>
  </si>
  <si>
    <t>Cables (Cat 6) - Schneider (France)  or equivalent                                                                                                                                                                                                                                                                      ( need consultant's approval)</t>
  </si>
  <si>
    <t>POE Switch - Schneider (France)  or equivalent                                                                                                                                                                                                             ( need consultant's approval)</t>
  </si>
  <si>
    <t>LED Monitor / TV-HP,Dell,Samsung,Panasonic or equivalent                                                                                                                                                                                                                                                                                                             ( need consultant's approval)</t>
  </si>
  <si>
    <t>Storage Device-Seagate, Western Digital (WD) or equivalent                                                                                                                                                                                                                                                                                                             ( need consultant's approval)</t>
  </si>
  <si>
    <t>Conduits / Junction Boxes / Sunk Boxes - National, Slon, Polychrome or equivalent (need consultant's approval)</t>
  </si>
  <si>
    <t>UPS-APC,DCP or equivalent                                                                                                                                                                                                                                                                                                             ( need consultant's approval)</t>
  </si>
  <si>
    <t>U Rack - EMP or equivalent ( need consultant's approval)</t>
  </si>
  <si>
    <t>Supply and Installation, Testing and Commissioning of CCTV System</t>
  </si>
  <si>
    <t>Supply and installation of 3MP IP (at least 30m) HD resolution POE indoor camera with DWDR, Day/Night (ICR), 3DNR, AWB, AGC, BLC and c/w all other relevant accessories.                                                                                                                                                   (Need to submit all technical details of the camera with bid document)</t>
  </si>
  <si>
    <t>Supply and installation of 3MP IP (at least 30m) HD resolution POE outdoor camera with DWDR, Day/Night (ICR), 3DNR, AWB, AGC, BLC and c/w all other relevant accessories.                                                                                                                                                   (Need to submit all technical details of the camera with bid document)</t>
  </si>
  <si>
    <r>
      <t>Supply and installation of 3MP IP (at least 30m) HD resolution POE indoor camera with DWDR, Day/Night (ICR), 3DNR, AWB, AGC, BLC and c/w all other relevant accessories (inside passenger lifts).</t>
    </r>
    <r>
      <rPr>
        <b/>
        <sz val="11"/>
        <rFont val="Times New Roman"/>
        <family val="1"/>
      </rPr>
      <t xml:space="preserve">This shall be included under lift contractor's scope as per client's interest if required. In such case, this item shall be omitted from CCTV contractor's scope.                   </t>
    </r>
    <r>
      <rPr>
        <sz val="11"/>
        <rFont val="Times New Roman"/>
        <family val="1"/>
      </rPr>
      <t xml:space="preserve">                                                                                                                                (Need to submit all technical details of the camera with bid document)</t>
    </r>
  </si>
  <si>
    <r>
      <t>Supply and installation of NVR system (01 No 24Ch NVRs) &amp; complete with all other relevant accessories.</t>
    </r>
    <r>
      <rPr>
        <b/>
        <sz val="11"/>
        <rFont val="Times New Roman"/>
        <family val="1"/>
      </rPr>
      <t xml:space="preserve"> </t>
    </r>
    <r>
      <rPr>
        <sz val="11"/>
        <rFont val="Times New Roman"/>
        <family val="1"/>
      </rPr>
      <t xml:space="preserve">Also provision should be included in the NVR system for connecting a link to provide monitoring facility at a remote location proposed by the client if required.       </t>
    </r>
    <r>
      <rPr>
        <b/>
        <sz val="11"/>
        <rFont val="Times New Roman"/>
        <family val="1"/>
      </rPr>
      <t xml:space="preserve">                   </t>
    </r>
    <r>
      <rPr>
        <sz val="11"/>
        <rFont val="Times New Roman"/>
        <family val="1"/>
      </rPr>
      <t xml:space="preserve">                                                                           (Need to mention relevant no of  NVR units &amp; respective channels per each unit if any deviations required in the given system as per contractor's interest) </t>
    </r>
  </si>
  <si>
    <t>Supply and installation of storage facility for 01 month (at least).              (Need to mention proposed storage capacity &amp; HDD qty. to satisfy this requirement)</t>
  </si>
  <si>
    <t>Supply and installation of LED Full HD 24 inch Monitor/TV with  mounting brackets at reception area &amp; CCTV room @ first floor  and complete with all other relevant accessories.                                                                                                             ( Monitor size &amp; quantity can be varied as per client requirement)</t>
  </si>
  <si>
    <t>Supply &amp; installation of wall mounted type 5U metal rack (with toughened glass front lockable door) as main CCTV rack @ panel room in first floor   including mounting brackets,nut &amp; bolts &amp; complete with all other relevant accessories.</t>
  </si>
  <si>
    <t>Supply and installation of 24 Port POE switch inside main CCTV rack @ IT room, including POE switch, patch panels, patch chords (if required)  and complete with all other relevant accessories.</t>
  </si>
  <si>
    <t>Supply and installation of CCTV camera point wiring with Cat 6 UTP cables through slab &amp; wall in PVC conduits including connectors,PVC conduits, junction boxes, sunk boxes &amp; complete with all other relevant accessories. Need to consider all camera point wiring &amp; backbone wiring for switches from main CCTV rack.(actual length can be varied as per site conditions &amp; breakdown of items need to be submitted with bid document)</t>
  </si>
  <si>
    <t xml:space="preserve">Supply and installation of Cat 6 UTP cables for display units from main CCTV rack through slab &amp; wall in PVC conduits including connectors,decoders,PVC conduits, junction boxes, sunk boxes &amp; complete with all other relevant accessories. </t>
  </si>
  <si>
    <t>Testing and commissioning of the system; Need to submit the certified test certificate, Testing of every CCTV outlet shall be done using cable tester. Contractor shall ensure clarity of Video. Test results report shall be submitted by the contractor.                                                                                                                                                               (contractor need to ensure the video quality expected by client / consultant after completion of works).</t>
  </si>
  <si>
    <t>Total system should have at least 2 years of minimum warranty period. If any deviation, please mention</t>
  </si>
  <si>
    <t>Need to include annual maintenance agreement after the warranty period, Including cost for 5 years (Excluding spare parts cost).</t>
  </si>
  <si>
    <t>Provide for any other item/s of CCTV System not listed above which in the opinion of bidder required as per the contract for the proper execution and completion of the Works. Bidder need to specify the items in adequate details and each item to be priced separately.</t>
  </si>
  <si>
    <t>Bidder need to mention proposed brands for below items/accessories along with the bid document.</t>
  </si>
  <si>
    <t>Indoor Camera -</t>
  </si>
  <si>
    <t>Outdoor Camera -</t>
  </si>
  <si>
    <t>NVR -</t>
  </si>
  <si>
    <t xml:space="preserve">Cables (Cat 6) - </t>
  </si>
  <si>
    <t xml:space="preserve">POE Switch - </t>
  </si>
  <si>
    <t>LED Monitor / TV -</t>
  </si>
  <si>
    <t>Storage Device -</t>
  </si>
  <si>
    <t xml:space="preserve">Conduits / Junction Boxes / Sunk Boxes - </t>
  </si>
  <si>
    <t>UPS -</t>
  </si>
  <si>
    <t>U Rack -</t>
  </si>
  <si>
    <r>
      <t>This is measure and pay contract.</t>
    </r>
    <r>
      <rPr>
        <sz val="11"/>
        <rFont val="Times New Roman"/>
        <family val="1"/>
      </rPr>
      <t xml:space="preserve"> Bidders are advised to carefully refer and understand all  drawings, specifications and general notes before submission of their quotation and proposal.</t>
    </r>
  </si>
  <si>
    <t>It’s bidder's responsibility to refer drawings, relevant specifications and general notes thereby calculate actual quantities.</t>
  </si>
  <si>
    <r>
      <t xml:space="preserve">If any discrepancy identified, bidder should verify the same with client/consultant engineer </t>
    </r>
    <r>
      <rPr>
        <b/>
        <sz val="11"/>
        <rFont val="Times New Roman"/>
        <family val="1"/>
      </rPr>
      <t>before submission</t>
    </r>
    <r>
      <rPr>
        <sz val="11"/>
        <rFont val="Times New Roman"/>
        <family val="1"/>
      </rPr>
      <t xml:space="preserve"> of final quotation and proposal.</t>
    </r>
  </si>
  <si>
    <t xml:space="preserve">RATE </t>
  </si>
  <si>
    <t xml:space="preserve">AMOUNT </t>
  </si>
  <si>
    <t>CCTV SYSTEM</t>
  </si>
  <si>
    <t>Supply, Installation, Testing and Commissioning of Telephone System.</t>
  </si>
  <si>
    <t>BoQ and Specifications for Telephone System.</t>
  </si>
  <si>
    <t>TELEPHONE SYSTEM</t>
  </si>
  <si>
    <t>Specifications &amp; General Notes for  Telephone System.</t>
  </si>
  <si>
    <t>Bidders are advised to carefully refer and understand all drawings, specifications and general notes before submission of their quotation and proposal.</t>
  </si>
  <si>
    <t>It’s bidders’ responsibility to refer drawings, relevant specifications and general notes, thereby check and verify quantities.</t>
  </si>
  <si>
    <t xml:space="preserve"> Bidder need to follow all relevant standards &amp; regulations as per IEEE Network Standards for all accessories &amp; equipment used. </t>
  </si>
  <si>
    <r>
      <rPr>
        <b/>
        <sz val="11"/>
        <color theme="1"/>
        <rFont val="Times New Roman"/>
        <family val="1"/>
      </rPr>
      <t>Cables (2 pair, Cat-3)</t>
    </r>
    <r>
      <rPr>
        <sz val="11"/>
        <color theme="1"/>
        <rFont val="Times New Roman"/>
        <family val="1"/>
      </rPr>
      <t xml:space="preserve"> – Schneider, ACL or equivalent (need consultant's approval)</t>
    </r>
  </si>
  <si>
    <r>
      <rPr>
        <b/>
        <sz val="11"/>
        <color theme="1"/>
        <rFont val="Times New Roman"/>
        <family val="1"/>
      </rPr>
      <t>Telephone Outlet</t>
    </r>
    <r>
      <rPr>
        <sz val="11"/>
        <color theme="1"/>
        <rFont val="Times New Roman"/>
        <family val="1"/>
      </rPr>
      <t xml:space="preserve"> - Orange or equivalent (need consultant's approval)</t>
    </r>
  </si>
  <si>
    <r>
      <rPr>
        <b/>
        <sz val="11"/>
        <color theme="1"/>
        <rFont val="Times New Roman"/>
        <family val="1"/>
      </rPr>
      <t>Conduits, sunk boxes, junction boxes</t>
    </r>
    <r>
      <rPr>
        <sz val="11"/>
        <color theme="1"/>
        <rFont val="Times New Roman"/>
        <family val="1"/>
      </rPr>
      <t xml:space="preserve"> -  National, Slon, Polychrome or equivalent (need consultant's approval)</t>
    </r>
  </si>
  <si>
    <r>
      <rPr>
        <b/>
        <sz val="11"/>
        <color theme="1"/>
        <rFont val="Times New Roman"/>
        <family val="1"/>
      </rPr>
      <t>Distribution Module</t>
    </r>
    <r>
      <rPr>
        <sz val="11"/>
        <color theme="1"/>
        <rFont val="Times New Roman"/>
        <family val="1"/>
      </rPr>
      <t xml:space="preserve"> - Imported or local brand manufactured up to standards (need consultant's approval)</t>
    </r>
  </si>
  <si>
    <r>
      <t>PABX-</t>
    </r>
    <r>
      <rPr>
        <sz val="11"/>
        <rFont val="Times New Roman"/>
        <family val="1"/>
      </rPr>
      <t>NEC or equivalent (need consultant's approval)</t>
    </r>
  </si>
  <si>
    <r>
      <t>Metal Enclosure-</t>
    </r>
    <r>
      <rPr>
        <sz val="11"/>
        <rFont val="Times New Roman"/>
        <family val="1"/>
      </rPr>
      <t xml:space="preserve">EMP,PUBUDU or equivalent                                       (need consultant's approval) </t>
    </r>
  </si>
  <si>
    <t>Supply and Installation, Testing and Commissioning of Telephone System.</t>
  </si>
  <si>
    <t>Supply and installation of PABX unit (18 Extensions) in Reception at first floor, including signal &amp; communication modules,connectors,controllers, &amp; etc,wall mounted type metal enclosure with front lockable door, mounting brackets and complete with all other relevant accessories. (breakdown of accessories need to be mentioned in the bid document)</t>
  </si>
  <si>
    <t>Supply &amp; installation of master telephone unit (of PABX system) at reception counter (first floor) &amp; complete with all other relevant accessories.</t>
  </si>
  <si>
    <t xml:space="preserve">Supply and installation of Telephone Distribution Point (connection module) inside the ELV duct at 2nd floor &amp; 3rd floor including DP module, mounting brackets &amp; complete with all other relevant accessories. </t>
  </si>
  <si>
    <r>
      <t xml:space="preserve">Supply and installation of 16 pair 0.5mm^2 telephone cable set from PABX to </t>
    </r>
    <r>
      <rPr>
        <b/>
        <sz val="11"/>
        <rFont val="Times New Roman"/>
        <family val="1"/>
      </rPr>
      <t>DP point at 2nd floor</t>
    </r>
    <r>
      <rPr>
        <sz val="11"/>
        <rFont val="Times New Roman"/>
        <family val="1"/>
      </rPr>
      <t xml:space="preserve"> through cable ELV cable tray including cable ties, flexible conduits and complete with all other relevant accessories.</t>
    </r>
  </si>
  <si>
    <r>
      <t xml:space="preserve">Supply and installation of 16 pair 0.5mm^2 telephone cable set from PABX to </t>
    </r>
    <r>
      <rPr>
        <b/>
        <sz val="11"/>
        <rFont val="Times New Roman"/>
        <family val="1"/>
      </rPr>
      <t>DP point at 3rd floor</t>
    </r>
    <r>
      <rPr>
        <sz val="11"/>
        <rFont val="Times New Roman"/>
        <family val="1"/>
      </rPr>
      <t xml:space="preserve"> through cable ELV cable tray including cable ties, flexible conduits and complete with all other relevant accessories.</t>
    </r>
  </si>
  <si>
    <t>Supply and installation of telephone points, point wiring with 2 pair 0.5mm^2 telephone cables from Distribution Point / PABX at relevant floors to 15nos telephone points in the building in PVC conduits through slab &amp; wall including PVC conduits, junction boxes, sunk box, telephone outlet and complete with all other relevant accessories.</t>
  </si>
  <si>
    <r>
      <rPr>
        <b/>
        <sz val="11"/>
        <color theme="1"/>
        <rFont val="Times New Roman"/>
        <family val="1"/>
      </rPr>
      <t>Testing and commissioning of the system</t>
    </r>
    <r>
      <rPr>
        <sz val="11"/>
        <color theme="1"/>
        <rFont val="Times New Roman"/>
        <family val="1"/>
      </rPr>
      <t xml:space="preserve"> : Testing of every telephone outlet by using cable tester. Contractor shall ensure clarity of Voice. Chartered Engineer certified test result report shall be submitted by the contractor.</t>
    </r>
  </si>
  <si>
    <t>Total system should have at least 2 years of minimum warranty period, in addition need to provide manufacturer's warranty for all accessories. If any deviations, please mention</t>
  </si>
  <si>
    <t>Provide for any other item/s of  TP System not listed above which in the opinion of bidder required as per the contract for the proper execution and completion of the Works. Bidder need to specify the items in adequate details and each item to be priced separately.</t>
  </si>
  <si>
    <t>Bidder need to mention proposed brands for below items in the tender proposal.</t>
  </si>
  <si>
    <r>
      <rPr>
        <b/>
        <sz val="11"/>
        <color theme="1"/>
        <rFont val="Times New Roman"/>
        <family val="1"/>
      </rPr>
      <t>Cables (2 pair, Cat-3)</t>
    </r>
    <r>
      <rPr>
        <sz val="11"/>
        <color theme="1"/>
        <rFont val="Times New Roman"/>
        <family val="1"/>
      </rPr>
      <t xml:space="preserve"> – ………………………………………….</t>
    </r>
  </si>
  <si>
    <r>
      <rPr>
        <b/>
        <sz val="11"/>
        <color theme="1"/>
        <rFont val="Times New Roman"/>
        <family val="1"/>
      </rPr>
      <t>Telephone Outlet</t>
    </r>
    <r>
      <rPr>
        <sz val="11"/>
        <color theme="1"/>
        <rFont val="Times New Roman"/>
        <family val="1"/>
      </rPr>
      <t xml:space="preserve"> - ………………………………………………</t>
    </r>
  </si>
  <si>
    <r>
      <rPr>
        <b/>
        <sz val="11"/>
        <color theme="1"/>
        <rFont val="Times New Roman"/>
        <family val="1"/>
      </rPr>
      <t>Conduits, sunk boxes, junction boxes</t>
    </r>
    <r>
      <rPr>
        <sz val="11"/>
        <color theme="1"/>
        <rFont val="Times New Roman"/>
        <family val="1"/>
      </rPr>
      <t xml:space="preserve"> - …………………………..</t>
    </r>
  </si>
  <si>
    <r>
      <rPr>
        <b/>
        <sz val="11"/>
        <color theme="1"/>
        <rFont val="Times New Roman"/>
        <family val="1"/>
      </rPr>
      <t>Distribution Module</t>
    </r>
    <r>
      <rPr>
        <sz val="11"/>
        <color theme="1"/>
        <rFont val="Times New Roman"/>
        <family val="1"/>
      </rPr>
      <t xml:space="preserve"> - ……………………………………………..</t>
    </r>
  </si>
  <si>
    <r>
      <rPr>
        <b/>
        <sz val="11"/>
        <color theme="1"/>
        <rFont val="Times New Roman"/>
        <family val="1"/>
      </rPr>
      <t>Metal Enclosure</t>
    </r>
    <r>
      <rPr>
        <sz val="11"/>
        <color theme="1"/>
        <rFont val="Times New Roman"/>
        <family val="1"/>
      </rPr>
      <t xml:space="preserve"> – ………………………………………………………</t>
    </r>
  </si>
  <si>
    <r>
      <t xml:space="preserve">This is Measure and pay contract. </t>
    </r>
    <r>
      <rPr>
        <sz val="11"/>
        <rFont val="Times New Roman"/>
        <family val="1"/>
      </rPr>
      <t>Bidders are advised to carefully refer and understand all  drawings, specifications and general notes before submission of their quotation and proposal.</t>
    </r>
  </si>
  <si>
    <t>tender.</t>
  </si>
  <si>
    <t xml:space="preserve">ADD 15% VAT </t>
  </si>
  <si>
    <t>Allow lump sum for constructing, maintaining, dismantling and removal on completion of the Works, a temporary office,stores and workshop with toilet,elecricity facility in conformity with the plans provided for Engineer's requirements, including furniture and fittings, furnishing, sanitary facilities necessary and other facilities.</t>
  </si>
  <si>
    <t>BILLS OF QUANTITIES</t>
  </si>
  <si>
    <t>*+</t>
  </si>
  <si>
    <t>Water tank slab/Roof Slab</t>
  </si>
  <si>
    <t>Application of two coats of elastomeric water proofing material using thoroseal or approved equivalnt capable to withstand temperature variation for wet areas exposed to sunlight and weathering. ( balconies, sun-shades, concrete gutters etc.) rate shall include for cleaning the substrate and all other work as per manufacturer's specifications on application and shall include ponding test for a 300mm water height kept for a period of 48 hours for horizontal surfaces and cement sand finished with neat finish smooth rendering</t>
  </si>
  <si>
    <t>SUB TOTAL III</t>
  </si>
  <si>
    <t xml:space="preserve">SUB TOTAL-II-CARRIED TO FORM OF BID  </t>
  </si>
  <si>
    <t>Supplying fabrication and erection of roof, rate to include to roof structure, roof plumbing work and roof covering work and finished as per the detail drawings and design</t>
  </si>
  <si>
    <t>Column Stub</t>
  </si>
  <si>
    <t>in Column Stub</t>
  </si>
  <si>
    <t>D1</t>
  </si>
  <si>
    <t>D2</t>
  </si>
  <si>
    <t xml:space="preserve">In  stairacse </t>
  </si>
  <si>
    <t>D4</t>
  </si>
  <si>
    <t>D5</t>
  </si>
  <si>
    <t>FL1</t>
  </si>
  <si>
    <t>FG1</t>
  </si>
  <si>
    <t>SW1</t>
  </si>
  <si>
    <t>SW2</t>
  </si>
  <si>
    <t>SW3</t>
  </si>
  <si>
    <t>SW4</t>
  </si>
  <si>
    <t>SW5</t>
  </si>
  <si>
    <t>SW6</t>
  </si>
  <si>
    <t>SW7</t>
  </si>
  <si>
    <t>SW8</t>
  </si>
  <si>
    <t>FG2</t>
  </si>
  <si>
    <t>1B1</t>
  </si>
  <si>
    <t>1B5</t>
  </si>
  <si>
    <t>1B2</t>
  </si>
  <si>
    <t>1B4</t>
  </si>
  <si>
    <t>1B3</t>
  </si>
  <si>
    <t>1B6</t>
  </si>
  <si>
    <t>1B9</t>
  </si>
  <si>
    <t>1B12</t>
  </si>
  <si>
    <t>1B7</t>
  </si>
  <si>
    <t>1B8</t>
  </si>
  <si>
    <t>1B10</t>
  </si>
  <si>
    <t xml:space="preserve"> </t>
  </si>
  <si>
    <t>1B11</t>
  </si>
  <si>
    <t>1B13</t>
  </si>
  <si>
    <t>1B14</t>
  </si>
  <si>
    <t>1B1a</t>
  </si>
  <si>
    <t>Curb</t>
  </si>
  <si>
    <t>2B2</t>
  </si>
  <si>
    <t>2B1</t>
  </si>
  <si>
    <t>2B3</t>
  </si>
  <si>
    <t>2B4</t>
  </si>
  <si>
    <t>2B5</t>
  </si>
  <si>
    <t>2B6</t>
  </si>
  <si>
    <t>2B7</t>
  </si>
  <si>
    <t>2B8</t>
  </si>
  <si>
    <t>2B9</t>
  </si>
  <si>
    <t>CURB</t>
  </si>
  <si>
    <t>3B1</t>
  </si>
  <si>
    <t>3B2</t>
  </si>
  <si>
    <t>3B3</t>
  </si>
  <si>
    <t>3B4</t>
  </si>
  <si>
    <t>3B5</t>
  </si>
  <si>
    <t>3B6</t>
  </si>
  <si>
    <t>3B7</t>
  </si>
  <si>
    <t>3B8</t>
  </si>
  <si>
    <t>3B9</t>
  </si>
  <si>
    <t>3B10</t>
  </si>
  <si>
    <t>In  Slab at Roof Top floor level</t>
  </si>
  <si>
    <t xml:space="preserve">Long </t>
  </si>
  <si>
    <t>short</t>
  </si>
  <si>
    <t xml:space="preserve">anagathe vadi vei </t>
  </si>
  <si>
    <t xml:space="preserve">anagathedi aduvei  </t>
  </si>
  <si>
    <t>F1</t>
  </si>
  <si>
    <t>F2</t>
  </si>
  <si>
    <t>F3</t>
  </si>
  <si>
    <t>F4</t>
  </si>
  <si>
    <t>F5</t>
  </si>
  <si>
    <t>F6</t>
  </si>
  <si>
    <t>F7</t>
  </si>
  <si>
    <t>F8</t>
  </si>
  <si>
    <t>F9</t>
  </si>
  <si>
    <t xml:space="preserve">Qurry Dust Filling </t>
  </si>
  <si>
    <t>Supplying and compaction of qurry dust compaction of earth including watering and compaction in 225mm thick layers with proctor density, using machine rammer/roller vibrator, rate to include to compaction maching charges and other nessasary related work</t>
  </si>
  <si>
    <t>SW9</t>
  </si>
  <si>
    <t>BUILDING SCHEDULE OF RATES</t>
  </si>
  <si>
    <t>PRICES OF MATERIAL &amp;  TOOLS</t>
  </si>
  <si>
    <t>Rate without Transport</t>
  </si>
  <si>
    <t>Rate with Transport</t>
  </si>
  <si>
    <t>Remarks</t>
  </si>
  <si>
    <t>Transporting Price</t>
  </si>
  <si>
    <t>Materials</t>
  </si>
  <si>
    <t>Lanwa</t>
  </si>
  <si>
    <t>Ultratech</t>
  </si>
  <si>
    <t>Cement ( 50 Kg )</t>
  </si>
  <si>
    <t>Bags</t>
  </si>
  <si>
    <t>tokyo santha</t>
  </si>
  <si>
    <t>Sand</t>
  </si>
  <si>
    <t>River Sand</t>
  </si>
  <si>
    <t>10mm</t>
  </si>
  <si>
    <t>Sea Sand</t>
  </si>
  <si>
    <t>Wash Sand</t>
  </si>
  <si>
    <t>6mm</t>
  </si>
  <si>
    <t>12mm</t>
  </si>
  <si>
    <t>16mm</t>
  </si>
  <si>
    <t>20mm</t>
  </si>
  <si>
    <t>3/4" Metal</t>
  </si>
  <si>
    <t>1" Metal</t>
  </si>
  <si>
    <t>6" x 9" Rubble</t>
  </si>
  <si>
    <t>Binding wire</t>
  </si>
  <si>
    <t xml:space="preserve">6" x 4" Rubble </t>
  </si>
  <si>
    <t>Imported Soil</t>
  </si>
  <si>
    <t>Quarry Dust</t>
  </si>
  <si>
    <t>ABC</t>
  </si>
  <si>
    <t>Reinforcement</t>
  </si>
  <si>
    <t>Tor Steel</t>
  </si>
  <si>
    <t>Ton</t>
  </si>
  <si>
    <t>Melwa</t>
  </si>
  <si>
    <t>GTB</t>
  </si>
  <si>
    <t>RS</t>
  </si>
  <si>
    <t>16 BWG Binding Wire</t>
  </si>
  <si>
    <t>Lbs</t>
  </si>
  <si>
    <t>Gals</t>
  </si>
  <si>
    <t>Bitumix ( 20L )</t>
  </si>
  <si>
    <t>Ltr</t>
  </si>
  <si>
    <t>Finex Motar Plus (Plasticiser)</t>
  </si>
  <si>
    <t>10 Litre - Rs.2350 +VAT</t>
  </si>
  <si>
    <t>BRICKS</t>
  </si>
  <si>
    <t xml:space="preserve">Engineering Brick 200mm x 100mm x 50mm </t>
  </si>
  <si>
    <t>Engineering Brick 200mm x 150mm x 75mm (6") thk.</t>
  </si>
  <si>
    <t>BLOCKS</t>
  </si>
  <si>
    <t xml:space="preserve">Solid Block 390 x 190 x 100mm </t>
  </si>
  <si>
    <t xml:space="preserve">Solid Block 390 x 190 x 150mm </t>
  </si>
  <si>
    <t xml:space="preserve">Solid Block 390 x 190 x 120mm </t>
  </si>
  <si>
    <t xml:space="preserve">Hollow Block 390 x 190 x 100mm </t>
  </si>
  <si>
    <t xml:space="preserve">Hollow Block 390 x 190 x 150mm </t>
  </si>
  <si>
    <t xml:space="preserve">Hollow Block 390 x 190 x 120mm </t>
  </si>
  <si>
    <t>Skim Coat</t>
  </si>
  <si>
    <t>Sand Papers</t>
  </si>
  <si>
    <t>Chiken mesh ( 1 x 3.33 )</t>
  </si>
  <si>
    <t>50 x 50 GI Mesh</t>
  </si>
  <si>
    <t>ft²</t>
  </si>
  <si>
    <t>Gauge 1000 polythene</t>
  </si>
  <si>
    <t>BRC mesh (12'x7')</t>
  </si>
  <si>
    <t xml:space="preserve">2"x2"  </t>
  </si>
  <si>
    <t>item</t>
  </si>
  <si>
    <t>84ft2</t>
  </si>
  <si>
    <t>6"x6"</t>
  </si>
  <si>
    <t>8"x8"</t>
  </si>
  <si>
    <t>Supreme Readymix</t>
  </si>
  <si>
    <t>Tokyo</t>
  </si>
  <si>
    <t>Prema</t>
  </si>
  <si>
    <t>Redy Mix Concrete</t>
  </si>
  <si>
    <t>G.15</t>
  </si>
  <si>
    <t>G.20</t>
  </si>
  <si>
    <t>G15</t>
  </si>
  <si>
    <t>G20</t>
  </si>
  <si>
    <t>G25</t>
  </si>
  <si>
    <t>G.25</t>
  </si>
  <si>
    <r>
      <t>Pump Car (25m</t>
    </r>
    <r>
      <rPr>
        <vertAlign val="superscript"/>
        <sz val="11"/>
        <color theme="1"/>
        <rFont val="Arial Narrow"/>
        <family val="2"/>
      </rPr>
      <t>3</t>
    </r>
    <r>
      <rPr>
        <sz val="11"/>
        <color theme="1"/>
        <rFont val="Arial Narrow"/>
        <family val="2"/>
      </rPr>
      <t>) Additional 1m3 - Rs.1500</t>
    </r>
  </si>
  <si>
    <t>G.30</t>
  </si>
  <si>
    <t>Plywood Board</t>
  </si>
  <si>
    <t xml:space="preserve">15mm thk 8'x4' non-coated Plywood board </t>
  </si>
  <si>
    <t>Nrs</t>
  </si>
  <si>
    <t xml:space="preserve">15mm thk 8'x4' coated Plywood board </t>
  </si>
  <si>
    <t xml:space="preserve">16mm thk 8'x4' coated Plywood board </t>
  </si>
  <si>
    <t>Mould oil</t>
  </si>
  <si>
    <t>Ltrs</t>
  </si>
  <si>
    <t>Class I timber</t>
  </si>
  <si>
    <t>1" Class I timber planks</t>
  </si>
  <si>
    <t>1" timber base plate to props</t>
  </si>
  <si>
    <t>1 1/2" Class I planks</t>
  </si>
  <si>
    <t>1" Class II timber</t>
  </si>
  <si>
    <t>6"x3/4" Lunumidella Ceiling planks</t>
  </si>
  <si>
    <t>2"x1" Class I reepers</t>
  </si>
  <si>
    <t>2"x2" Class I timber</t>
  </si>
  <si>
    <t>4"x2" Class I timber</t>
  </si>
  <si>
    <t>4"x3" Class I timber</t>
  </si>
  <si>
    <t>2"x2" Class II timber in yokes</t>
  </si>
  <si>
    <t>2"x1" Class II timber batterns</t>
  </si>
  <si>
    <t>2"x2" Class II Ledges</t>
  </si>
  <si>
    <t>4"x2" Class II bearers</t>
  </si>
  <si>
    <t>4"x2" Class II timber props</t>
  </si>
  <si>
    <t>2"x2" Halmilla cove moulding</t>
  </si>
  <si>
    <t>1 1/2"x1 1/2" Halmilla beading</t>
  </si>
  <si>
    <t>Props</t>
  </si>
  <si>
    <t>Brick</t>
  </si>
  <si>
    <t>Wirecut Bricks</t>
  </si>
  <si>
    <r>
      <t xml:space="preserve">Brick Size 212.5mm x 100mm x 50mm </t>
    </r>
    <r>
      <rPr>
        <b/>
        <sz val="11"/>
        <color theme="1"/>
        <rFont val="Arial Narrow"/>
        <family val="2"/>
      </rPr>
      <t>( 9" )</t>
    </r>
  </si>
  <si>
    <t>Hashan (Wellawaya Brick Supplier)</t>
  </si>
  <si>
    <r>
      <t xml:space="preserve">Brick Size 212.5mm x 150mm x 75mm </t>
    </r>
    <r>
      <rPr>
        <b/>
        <sz val="11"/>
        <color theme="1"/>
        <rFont val="Arial Narrow"/>
        <family val="2"/>
      </rPr>
      <t>( 6" )</t>
    </r>
  </si>
  <si>
    <t>with loading &amp; unloading (AMTRAD limited prices)</t>
  </si>
  <si>
    <t>Bloock</t>
  </si>
  <si>
    <t>Size</t>
  </si>
  <si>
    <t>LHP</t>
  </si>
  <si>
    <t>Amtrad</t>
  </si>
  <si>
    <t>Wapco</t>
  </si>
  <si>
    <t>Sachindra</t>
  </si>
  <si>
    <t>390x190x100mm Solid block</t>
  </si>
  <si>
    <t xml:space="preserve">LH Piyasena </t>
  </si>
  <si>
    <t>390x190x150mm Solid block</t>
  </si>
  <si>
    <t>390x190x200mm Solid block</t>
  </si>
  <si>
    <t>390x190x100mm Hollow block</t>
  </si>
  <si>
    <t>390x190x150mm Hollow block</t>
  </si>
  <si>
    <t>390x190x200mm Hollow block</t>
  </si>
  <si>
    <t>Tile</t>
  </si>
  <si>
    <t>2x2 Glazed Floor tile</t>
  </si>
  <si>
    <t>3x3 Glazed Floor tile</t>
  </si>
  <si>
    <t>4x4 Glazed Floor tile</t>
  </si>
  <si>
    <t>6x6 Glazed Floor tile</t>
  </si>
  <si>
    <t>8x8 Glazed Floor tile</t>
  </si>
  <si>
    <t>12"x12" Glazed Floor tile</t>
  </si>
  <si>
    <t>16"x16"Glazed Floor tile</t>
  </si>
  <si>
    <t>18"x18" Glazed Floor tile</t>
  </si>
  <si>
    <t>24"x24" Glazed Floor tile</t>
  </si>
  <si>
    <t>4 x4  Glazed Wall tile</t>
  </si>
  <si>
    <t>6 x 6 Glazed Wall tile</t>
  </si>
  <si>
    <t>12"x12" Terracota tile</t>
  </si>
  <si>
    <t>12"x12" Ceramic Floor tile</t>
  </si>
  <si>
    <t>12"x12" Granite tile</t>
  </si>
  <si>
    <t>12"x12" Mosaic tile</t>
  </si>
  <si>
    <t>Tiles (300 x 300mm) (Tile P.C. Rs.600 per 1ft2)</t>
  </si>
  <si>
    <t>Tiles (600 x 600mm) (Tile P.C. Rs.600 per 1ft2)</t>
  </si>
  <si>
    <t>Tile Adhesive ( 25 Kg )</t>
  </si>
  <si>
    <t>Bag</t>
  </si>
  <si>
    <t>Tile Grout (1Kg )</t>
  </si>
  <si>
    <t>Cotton Waste</t>
  </si>
  <si>
    <t>Painting</t>
  </si>
  <si>
    <t>Anti-corrosive primer</t>
  </si>
  <si>
    <t>Alkali resistant primer</t>
  </si>
  <si>
    <t>Wall primer</t>
  </si>
  <si>
    <t>Wood primer</t>
  </si>
  <si>
    <t>Acrylic Wall Filler</t>
  </si>
  <si>
    <t>Sanding</t>
  </si>
  <si>
    <t>Enamel paint</t>
  </si>
  <si>
    <t>Emulsion paint</t>
  </si>
  <si>
    <t>Weather Sheild Paint</t>
  </si>
  <si>
    <t>Marine epoxy paint</t>
  </si>
  <si>
    <t>ltr</t>
  </si>
  <si>
    <t>Mineral turpentine or Thinner</t>
  </si>
  <si>
    <t>9" Roller Brush (10 Uses)</t>
  </si>
  <si>
    <t>Nippon - 31480</t>
  </si>
  <si>
    <t xml:space="preserve">Site Clearing &amp; Removing top soil </t>
  </si>
  <si>
    <t>Per 1 Sqr</t>
  </si>
  <si>
    <t>Decription</t>
  </si>
  <si>
    <t xml:space="preserve">Unit </t>
  </si>
  <si>
    <t xml:space="preserve">Rate </t>
  </si>
  <si>
    <t>Total</t>
  </si>
  <si>
    <t>Labour</t>
  </si>
  <si>
    <t>Un/Skilled</t>
  </si>
  <si>
    <t>Total Labour Cost</t>
  </si>
  <si>
    <t>Basic Cost per 10 Sqr</t>
  </si>
  <si>
    <t>Basic Cost per 1 sqr</t>
  </si>
  <si>
    <t>Basic Cost per 1m2</t>
  </si>
  <si>
    <t>Excavation for foundations depth not exceeding 1.5m (Manual Excavation)</t>
  </si>
  <si>
    <t>Per 1 Cube</t>
  </si>
  <si>
    <t>Sub Contractor's Rate</t>
  </si>
  <si>
    <t>Basic Cost per 1 Cube</t>
  </si>
  <si>
    <r>
      <t>Basic Cost per 1 m</t>
    </r>
    <r>
      <rPr>
        <b/>
        <vertAlign val="superscript"/>
        <sz val="11"/>
        <color theme="1"/>
        <rFont val="Arial Narrow"/>
        <family val="2"/>
      </rPr>
      <t>3</t>
    </r>
  </si>
  <si>
    <t>Earth Filling (Excavated material)</t>
  </si>
  <si>
    <t>Consider 12 Cubes</t>
  </si>
  <si>
    <t>Material</t>
  </si>
  <si>
    <t>Total Material Cost</t>
  </si>
  <si>
    <t>Un/Skilled Labour for levelling &amp; Compaction</t>
  </si>
  <si>
    <t>Days</t>
  </si>
  <si>
    <t>Plant &amp; Machinery</t>
  </si>
  <si>
    <t>Jumping Compactor</t>
  </si>
  <si>
    <t>hr</t>
  </si>
  <si>
    <t>Total Plant &amp; Machinery Cost</t>
  </si>
  <si>
    <t>Basic Cost per 12 Cube</t>
  </si>
  <si>
    <t>Imported Soil Filling</t>
  </si>
  <si>
    <t>Cost of Imported Soil Transport to Site</t>
  </si>
  <si>
    <t>35% of Additional Soil for Compaction</t>
  </si>
  <si>
    <t>JCB with Operator</t>
  </si>
  <si>
    <t>Dam Proof Membrane ; Gauge 1000 Polythene</t>
  </si>
  <si>
    <t>Laying</t>
  </si>
  <si>
    <t>ft2</t>
  </si>
  <si>
    <t>Basic Cost per 1 Sqr</t>
  </si>
  <si>
    <t>Basic Cost per 1 m2</t>
  </si>
  <si>
    <t>Basic Cost per 1 ft2</t>
  </si>
  <si>
    <t>CONCRETE WORKS</t>
  </si>
  <si>
    <t>Cement Bag cost delivered to Site</t>
  </si>
  <si>
    <t>Cement Bag (50kg)</t>
  </si>
  <si>
    <t xml:space="preserve">Loading &amp; Unloading Cost (1hr Un/Sk Labour per 1 Ton) </t>
  </si>
  <si>
    <t>Transport Cost (Miximum 20km range)</t>
  </si>
  <si>
    <t>Turn</t>
  </si>
  <si>
    <t>Total Cost per 50 Cement bags</t>
  </si>
  <si>
    <t>Total Cost per 1nr  Cement bag delivered to Site</t>
  </si>
  <si>
    <t>Grade 15 Insitu Concrete 1: 3 : 6</t>
  </si>
  <si>
    <t>3/4"Metal</t>
  </si>
  <si>
    <t>Concrete Mixer</t>
  </si>
  <si>
    <t>Poker Vibrator</t>
  </si>
  <si>
    <t>Grade 20 Insitu Concrete 1: 2 : 4</t>
  </si>
  <si>
    <t>Basic Cost per 1 Cube - Ground to 1st Floor</t>
  </si>
  <si>
    <t>Basic Cost per 1 Cube - 1st Floor to 2nd Floor</t>
  </si>
  <si>
    <t>Basic Cost per 1 Cube - 2nd Floor to 3rd Floor</t>
  </si>
  <si>
    <t>Grade 25 Insitu Concrete 1:1 1/2 : 3</t>
  </si>
  <si>
    <t>Metal</t>
  </si>
  <si>
    <t xml:space="preserve">2"thk.  Screed Concrete;  Grade 15 Insitu Concrete 1: 3 : 6 </t>
  </si>
  <si>
    <t>Concrete (Material Cost Only)</t>
  </si>
  <si>
    <t>Wastage 10%</t>
  </si>
  <si>
    <t>Sub Contractor's Rate for Placing</t>
  </si>
  <si>
    <t xml:space="preserve">3"thk.  Screed Concrete;  Grade 20 Insitu Concrete 1: 2 : 4 </t>
  </si>
  <si>
    <t xml:space="preserve">3"thk. Floor Concrete with BRC A142 mesh;  Grade 20 Insitu Concrete 1: 2 : 4 </t>
  </si>
  <si>
    <t>Wastage for Concrete 10%</t>
  </si>
  <si>
    <t>BRC A142 mesh</t>
  </si>
  <si>
    <t>LINTELS, STIFFENER COLUMNS</t>
  </si>
  <si>
    <t>100 x 100 mm Lintels in Grade 25 insitu Concrete 1 : 1 1/2 : 3</t>
  </si>
  <si>
    <t>Per 10m</t>
  </si>
  <si>
    <t>Cement</t>
  </si>
  <si>
    <t>R/F</t>
  </si>
  <si>
    <t>Sub Contractor's Rate with Form work</t>
  </si>
  <si>
    <t>Basic Cost per 10m</t>
  </si>
  <si>
    <t>Basic Cost per 1m</t>
  </si>
  <si>
    <t>Basic Cost per 1 L.ft</t>
  </si>
  <si>
    <t>150 x 150 mm Lintels in Grade 25 insitu Concrete 1 : 1 1/2 : 3</t>
  </si>
  <si>
    <t>225 x 150 mm Lintels in Grade 25 insitu Concrete 1 : 1 1/2 : 3</t>
  </si>
  <si>
    <t>Length</t>
  </si>
  <si>
    <t>Breadth</t>
  </si>
  <si>
    <t xml:space="preserve">Depth </t>
  </si>
  <si>
    <t>225 x 225 mm Lintels in Grade 25 insitu Concrete 1 : 1 1/2 : 3</t>
  </si>
  <si>
    <t>READYMIX CONCRETE</t>
  </si>
  <si>
    <t>Grade 25 Readymix Concrete 1:1 1/2 : 3  with Pump car</t>
  </si>
  <si>
    <t>Per 1 m3</t>
  </si>
  <si>
    <t>G.25 Readymix Concrete</t>
  </si>
  <si>
    <r>
      <t>m</t>
    </r>
    <r>
      <rPr>
        <vertAlign val="superscript"/>
        <sz val="11"/>
        <color theme="1"/>
        <rFont val="Arial Narrow"/>
        <family val="2"/>
      </rPr>
      <t>3</t>
    </r>
  </si>
  <si>
    <t>Wastage</t>
  </si>
  <si>
    <t xml:space="preserve">Levelling Gang's Rate </t>
  </si>
  <si>
    <t>Pump Car Charge ( Rs.40,000.00 per Upto 30m3)</t>
  </si>
  <si>
    <t>Basic Cost per 24 m3</t>
  </si>
  <si>
    <t>R/F cost delivered to Site</t>
  </si>
  <si>
    <t>Price per Ton</t>
  </si>
  <si>
    <t>Total Cost per 1 Ton of R/F Delivered to Site</t>
  </si>
  <si>
    <t>Total Cost per 1 Cwt R/F Delivered to Site</t>
  </si>
  <si>
    <t>Total Cost per 1 Kg R/F Delivered to Site</t>
  </si>
  <si>
    <t xml:space="preserve">R/F </t>
  </si>
  <si>
    <t>Per 1 Cwt</t>
  </si>
  <si>
    <t>Mild Steel/Tor Steel Delivered to Site</t>
  </si>
  <si>
    <t>Cwt</t>
  </si>
  <si>
    <t xml:space="preserve">Binding wire </t>
  </si>
  <si>
    <t xml:space="preserve">Add 1.5% from steel cost to shapers or chairs </t>
  </si>
  <si>
    <t>Add 4% for Cover Blocks</t>
  </si>
  <si>
    <t>Basic Cost per 1 Cwt</t>
  </si>
  <si>
    <t>Basic Cost per 1 Ton</t>
  </si>
  <si>
    <t>Basic Cost per 1 Kg</t>
  </si>
  <si>
    <t>WATERPROOFING</t>
  </si>
  <si>
    <t>Baralastic water proofing work</t>
  </si>
  <si>
    <t xml:space="preserve">Per 38.75 Sqft </t>
  </si>
  <si>
    <t>12mm thk. Levelling screed</t>
  </si>
  <si>
    <t>bag</t>
  </si>
  <si>
    <t>cu</t>
  </si>
  <si>
    <t>Non shrink grout</t>
  </si>
  <si>
    <t>Masterseal 540</t>
  </si>
  <si>
    <t xml:space="preserve">Transport Cost </t>
  </si>
  <si>
    <t>Sub Contractor's waterproofing Rate with material</t>
  </si>
  <si>
    <t>Sub Contractor's Angle filet Rate with material</t>
  </si>
  <si>
    <t>ft</t>
  </si>
  <si>
    <t>Basic Cost per 38.75 ft2</t>
  </si>
  <si>
    <t>MASONRY WORK</t>
  </si>
  <si>
    <t xml:space="preserve">Random Rubble Masonry </t>
  </si>
  <si>
    <t xml:space="preserve"> 6" x 9" Rubble</t>
  </si>
  <si>
    <t>ft3</t>
  </si>
  <si>
    <t>Basic Cost per 1 m3</t>
  </si>
  <si>
    <t>BRICK WORK</t>
  </si>
  <si>
    <t>225 mm thk. Brick Wall (Brick Size 212.5mm x 100mm x 50mm)</t>
  </si>
  <si>
    <t>Bricks (Brick Size 212.5mm x 100mm x 50mm)</t>
  </si>
  <si>
    <t>Wastage 5%</t>
  </si>
  <si>
    <t>Add; 5% for Scaffoldings</t>
  </si>
  <si>
    <t>150 mm thk. Brick Wall (Brick Size 212.5mm x 150mm x 75mm)</t>
  </si>
  <si>
    <t>Bricks (Brick Size 212.5mm x 150mm x 75mm)</t>
  </si>
  <si>
    <t>112 mm thk. Brick Wall (Brick Size 212.5mm x 100mm x 50mm)</t>
  </si>
  <si>
    <t>BLOCK WORK</t>
  </si>
  <si>
    <t>100mm Thk.Solid Block Work</t>
  </si>
  <si>
    <t>100mm thk. Solid Block  Wall (Block Size 390mm x 190mm x 100mm)</t>
  </si>
  <si>
    <t>Blocks(Block Size 390mm x 190mm x 100mm)</t>
  </si>
  <si>
    <t>Add; 5% for Tools</t>
  </si>
  <si>
    <t>150mm Thk.Solid Block Work</t>
  </si>
  <si>
    <t>150mm thk. Solid Block  Wall (Block Size 390mm x 190mm x 100mm)</t>
  </si>
  <si>
    <t>Add; 3% for Tools</t>
  </si>
  <si>
    <t>100mm Thk.Hollow Block Work</t>
  </si>
  <si>
    <t>100mm thk. Hollow Block  Wall (Block Size 390mm x 190mm x 100mm)</t>
  </si>
  <si>
    <t>16mm thk. Internal Plastering in 1:5 Cement Sand mortar</t>
  </si>
  <si>
    <t xml:space="preserve">Add; 5% for Scaffoldings  </t>
  </si>
  <si>
    <t>Chicken mesh</t>
  </si>
  <si>
    <t>Sand Paper</t>
  </si>
  <si>
    <t>20mm thk. External Plastering  in 1:5 Cement Sand motar (with Scaffolding work)</t>
  </si>
  <si>
    <t>20mm thk. External Plastering  in 1:5 Cement Sand motar (Moulding work)</t>
  </si>
  <si>
    <t>16mm thk. Column &amp; Beam Plastering in 1:5 Cement Sand mortar</t>
  </si>
  <si>
    <t>FLOOR FINISHES</t>
  </si>
  <si>
    <t xml:space="preserve">12mm thk. Cement rendering in 1:3 Cement Sand motar </t>
  </si>
  <si>
    <t>Sub Contractor's Rate for 18mm thk. Screed</t>
  </si>
  <si>
    <t xml:space="preserve">25mm thk. Plinth Plastering in 1:3 Cement Sand motar </t>
  </si>
  <si>
    <t>18mm thk. DPC in 1:3 Cement Sand motar  and blinded with tar</t>
  </si>
  <si>
    <t>Bitumix 20L (10850 + VAT)</t>
  </si>
  <si>
    <t xml:space="preserve">18mm thk. Floor Rendering in 1:3 Cement Sand motar </t>
  </si>
  <si>
    <t xml:space="preserve">25mm thk. Floor Rendering in 1:3 Cement Sand motar </t>
  </si>
  <si>
    <t>Floor Tiling (600 x 600mm)</t>
  </si>
  <si>
    <t>Tiles (600 x 600mm) (Tile P.C. Rs.700per 1ft2)</t>
  </si>
  <si>
    <t>Tile Adhesive 25Kg</t>
  </si>
  <si>
    <t>Tile Grout</t>
  </si>
  <si>
    <t>Sum</t>
  </si>
  <si>
    <t>Transport Cost</t>
  </si>
  <si>
    <t>Wall Tiling (600 x 600mm)</t>
  </si>
  <si>
    <t>Tiles (600 x 600mm) (Tile P.C. Rs.700 per 1ft2)</t>
  </si>
  <si>
    <t>Tile Adhesive</t>
  </si>
  <si>
    <t>Pool Tiling (600 x 600mm)</t>
  </si>
  <si>
    <t>Tiles (600 x 600mm) (Tile P.C. Rs.500per 1ft2)</t>
  </si>
  <si>
    <t>SF Skim Coat 20 Kg Bag - Rs.1380</t>
  </si>
  <si>
    <t>Acrylic Wall Filler  20L Rs.12821</t>
  </si>
  <si>
    <t>Skirting with (300 x 300mm)</t>
  </si>
  <si>
    <t>Basic Cost per 100 L.ft</t>
  </si>
  <si>
    <t>Basic Cost per 1 m</t>
  </si>
  <si>
    <t>Staircase Tiling (300 x 300mm)</t>
  </si>
  <si>
    <t>Temple Stone Paving (300 x 300mm)</t>
  </si>
  <si>
    <t>Temple Stone (600 x 600mm) (Tile P.C. Rs.700per 1ft2)</t>
  </si>
  <si>
    <t>Emulsion Paints</t>
  </si>
  <si>
    <t>Transport Cost (10% of Total Material Cost)</t>
  </si>
  <si>
    <t>Add; Scaffolding 5%</t>
  </si>
  <si>
    <t>Weathersheild Paint 20L - Rs.58583</t>
  </si>
  <si>
    <t>Interior /Exterior Sealer- 20L  Rs. 58583</t>
  </si>
  <si>
    <t>External Painting Wall - Apply Two coats of Exterior Primer and Three Coats of Weathersheild Paint</t>
  </si>
  <si>
    <t>Primer</t>
  </si>
  <si>
    <t>Internal Painting Wall - Apply one Coat of Acrylic Filler and Two Coats of Emulsion Paints on Walls</t>
  </si>
  <si>
    <t>Sub Contractor's waterproofing Rate without material</t>
  </si>
  <si>
    <t>Sub Contractor's Angle filet Rate without material</t>
  </si>
  <si>
    <t>DOORS &amp; WINDOWS</t>
  </si>
  <si>
    <t>D1 (1200 X 2850)</t>
  </si>
  <si>
    <t>Sub Contractors Rate for Supply &amp; fixing of Timber frame and Sash</t>
  </si>
  <si>
    <t>Basic Cost per 1 nr</t>
  </si>
  <si>
    <t>Pre Cast Pergola 100 x 50mm  with 3mm thk. Polycarbonate sheets</t>
  </si>
  <si>
    <t>Per Area 4m x 4m</t>
  </si>
  <si>
    <t>100 x 50mm, 4m Long Precast pergola</t>
  </si>
  <si>
    <t>Consumbles for fixing of Pergola</t>
  </si>
  <si>
    <t>Finish with Titanium</t>
  </si>
  <si>
    <t>3mm thk. Polycarbonate Sheets</t>
  </si>
  <si>
    <t>GI Box bar frame work</t>
  </si>
  <si>
    <t>Rs.14500</t>
  </si>
  <si>
    <t>Basic Cost per 16m Sqr</t>
  </si>
  <si>
    <t>Exposed Rafter roof with Lunumidella Ceiling</t>
  </si>
  <si>
    <t>Per 12.48 Sqr</t>
  </si>
  <si>
    <t>50x100 Wall Plate (Tulang)</t>
  </si>
  <si>
    <t>75x175 Ridge Plate (Tulang)</t>
  </si>
  <si>
    <t>50x125 Raffters (Tulang)</t>
  </si>
  <si>
    <t>50x50 Battens (Tulang)</t>
  </si>
  <si>
    <t>225x25  Valance Board (Tulang)</t>
  </si>
  <si>
    <t>225x25 Barge board (Tulang)</t>
  </si>
  <si>
    <t xml:space="preserve">5mm thk single sided heat insulation </t>
  </si>
  <si>
    <t>20mm thk 150mm width stained and water base timber ceilling</t>
  </si>
  <si>
    <t>Corrugated cement fiber roofing sheet</t>
  </si>
  <si>
    <t>Half round roofing tiles (Covering tile)</t>
  </si>
  <si>
    <t>Rigde tile</t>
  </si>
  <si>
    <t>Waterbase Painting (Material price per 1ft2)</t>
  </si>
  <si>
    <t>Add; Tools 3%</t>
  </si>
  <si>
    <t>Basic Cost per 12.48 Sqr</t>
  </si>
  <si>
    <t>Pre Cast Pergola 100 x 50mm, finish with Titanium Cut finish</t>
  </si>
  <si>
    <t>Vanity counter ( 900 x 550 mm)   4" thk. G20 concrete 1:2:4                 ( 3' x 1'10")</t>
  </si>
  <si>
    <t>Width</t>
  </si>
  <si>
    <t>Depth</t>
  </si>
  <si>
    <t>Per 1 item</t>
  </si>
  <si>
    <t>Concrete</t>
  </si>
  <si>
    <t>Concrete (G20 insitue)</t>
  </si>
  <si>
    <t>Formwork</t>
  </si>
  <si>
    <t>kg</t>
  </si>
  <si>
    <t>F/W</t>
  </si>
  <si>
    <t>2' height Tile back spash with backing</t>
  </si>
  <si>
    <t>Plastering in vanity top</t>
  </si>
  <si>
    <t>T10</t>
  </si>
  <si>
    <t>Tool 3%</t>
  </si>
  <si>
    <t>Plastering</t>
  </si>
  <si>
    <t>Sub Contractor's Rate with F/W materils and top plastering</t>
  </si>
  <si>
    <t>Senarath 24.09.2023</t>
  </si>
  <si>
    <t>Tile Backspash</t>
  </si>
  <si>
    <t>Basic Cost per 1 item</t>
  </si>
  <si>
    <t>Vanity counter (4200 x 600 mm)   4" thk. G20 concrete 1:2:4                 ( 14' x 2' )</t>
  </si>
  <si>
    <t>Vanity counter ( 2325 x 600 mm)   4" thk. G20 concrete 1:2:4                 ( 7'9" x 2')</t>
  </si>
  <si>
    <r>
      <t>Basic Cost per 1 m</t>
    </r>
    <r>
      <rPr>
        <b/>
        <vertAlign val="superscript"/>
        <sz val="11"/>
        <color theme="1"/>
        <rFont val="Arial Narrow"/>
        <family val="2"/>
      </rPr>
      <t>2</t>
    </r>
  </si>
  <si>
    <t>COST</t>
  </si>
  <si>
    <t>OHP%</t>
  </si>
  <si>
    <t xml:space="preserve">Cement </t>
  </si>
  <si>
    <t>Bitumix (20 L    18,500 LKR)</t>
  </si>
  <si>
    <t>Lit</t>
  </si>
  <si>
    <t>Exapansion joint with Sealent and M/s Bitumix</t>
  </si>
  <si>
    <t>Transport (Disposal of Excavated material)</t>
  </si>
  <si>
    <t>Day</t>
  </si>
  <si>
    <t>Cost of Qurry Dust Transport to Site</t>
  </si>
  <si>
    <t>10% of Additional Quarry Dust for Compaction</t>
  </si>
  <si>
    <t>Weathersheild waterproofing Paint</t>
  </si>
  <si>
    <t>Tiles (600 x 600mm) (Tile P.C. Rs.600per 1ft2)</t>
  </si>
  <si>
    <t>In staircase from First  floor level to Second floor level</t>
  </si>
  <si>
    <t>C4.5</t>
  </si>
  <si>
    <t>D 3.5</t>
  </si>
  <si>
    <t>E2.4</t>
  </si>
  <si>
    <t>Mild/Tor steel reinforcement to slabs, beams, lintols, columns, footings &amp; etc.. bent to shape, laid in position and tied with   16 B.W.G. Aneal binding wire up to Dpc .</t>
  </si>
  <si>
    <t>K 07</t>
  </si>
  <si>
    <t>Forming drip for sunshade edge cement &amp; sand 1: 3 finished semi rough in ground floor. Rate includes cost of "Febmix"as a workability enhancer.</t>
  </si>
  <si>
    <t>K 07.01</t>
  </si>
  <si>
    <t>K 07.02</t>
  </si>
  <si>
    <t>K 07.03</t>
  </si>
  <si>
    <t>Dry Earth Filling</t>
  </si>
  <si>
    <t xml:space="preserve">Supplying and compaction of  Approved earth,compaction of earth including watering and compaction in 225mm thick layers with proctor density, using  machine rammer/roller vibrator, rate to include to compaction maching charges and other nessasary related work  </t>
  </si>
  <si>
    <t>Perforated Brick Wall</t>
  </si>
  <si>
    <t>Supplying and inslattaion of Roller Door with remote controller works</t>
  </si>
  <si>
    <t>Disable Fittings &amp; Accessories</t>
  </si>
  <si>
    <t>Supply and fix ceramic wall hung wash basin for disabled of "Vitra" brand, Model No.6147 with Plush Lock waste &amp; overflow &amp; Bottle Trap Chrome plated or approved equivalent.(Prime cost of the  wash basin  is Rs.45,000.00)</t>
  </si>
  <si>
    <t>Supply and fix Disable Water Closet "Vitra" brand-Model No.6927 with seat cover &amp; water tank or approved equivalent complete to working order.(Prime cost of   is Rs.65,000.00)</t>
  </si>
  <si>
    <t>Supply and fix Chromium plated single level wash basin mixer tap without pop-up waste with connection flex of "cobra" brand or approved equivalent with 5 year written warranty from the authorized agent.(Prime cost of   is Rs.25,000.00)</t>
  </si>
  <si>
    <t>Supply and fix Heavy duty Straight grab bar for disabled of "J&amp;T" brand,model "GB029" or approved equivalent.(Prime cost of   is Rs.10,000.00)</t>
  </si>
  <si>
    <t>Supply and fix white vitreous china (vc) floor standing wash basin and  pedestal with overflow hole and single tap hole in center of "Rocell" brand or approved equivalent complete to working order inclusive of the 1 1/4" chromium plated waste outlet of "Rocell" brand or approved equivalent and 1 1/4" chromium plated siphon cleanable bottle trap of "Rocell" brand or approved equivalent. (Prime cost of the floor standing wash basin and pedestal is Rs.20,185.00)</t>
  </si>
  <si>
    <t>Supply and fix white vitreous china (vc) floor standing Vanity wash basin with overflow hole and single tap hole in center of "Rocell" brand or approved equivalent complete to working order inclusive of the 1 1/4" chromium plated waste outlet of "Rocell" brand or approved equivalent and 1 1/4" chromium plated siphon cleanable bottle trap of "Rocell" brand or approved equivalent. (Prime cost of the floor standing wash basin  is Rs.45,000.00)</t>
  </si>
  <si>
    <t>Supply and fix white vitreous china (vc) floor standing close coupled semi .  back to wall water closet suite with wash down flushing with 6/3 liters dual flushing has horizontal outlet with vario drain bend and two lateral holes for bottom water connection , P trap, cistern with water inlet from rear of "Rocell" brand or approved equivalent complete to working order inclusive of universal bend of "Rocell" brand. (Prime cost of the water closet, tank and seat cover is Rs.55,000.00)</t>
  </si>
  <si>
    <t>Supply and fix Urinal with sensor type  "Rocell " brand or approved equivalent complete to working order. (Prime cost of the Urinal  is Rs. 77,130.00)</t>
  </si>
  <si>
    <t>Supply and fix Chromium plated 1/2" dia. 15" long flexible horse of  "Rocell" brand or approved equivalent. (Prime cost of the Chromium plated 1/2" dia. 12" long flexible horse is Rs. 2,500.00)</t>
  </si>
  <si>
    <t>Supply and fix chromium plated Bidet Spray of "Rocell" brand or . approved equivalent. (Prime cost of the chromium plated Bidet Spray is Rs. 4,000.00)</t>
  </si>
  <si>
    <t>Supply and fix 5mm thick mirror of size 18" x 24" double coated with pencil edge back strecher. (Prime cost of the 5mm thick mirror of size 18" x 24" is Rs. 5,000.00)</t>
  </si>
  <si>
    <t>Supply and fix Chromium plated Bip tap of of "Rocell" brand or approved  equivalent. (Prime cost of the Chromium plated Bip tap is Rs. 4,000.00)</t>
  </si>
  <si>
    <t>Supply and fix chromium plated Soap holder of "Rocell" brand or .  approved equivalent. (Prime cost of the chromium plated Soap holder is Rs. 3,000.00)</t>
  </si>
  <si>
    <t>Supply and fix chromium plated Toilet Paper Holder of "Rocell" brand or .  approved equivalent. (Prime cost of the chromium plated Toilet Paper Holder is Rs. 3,000.00)</t>
  </si>
  <si>
    <t>Kitchen Sink</t>
  </si>
  <si>
    <t>Supply and fix Chromium plated Sink tap (Swan neck type) of "Rocell" . brand or approved equivalent. (Prime cost of the Chromium plated Sink tap (Swan neck type) is Rs. 5,047.00)</t>
  </si>
  <si>
    <t>ACCESSORIES</t>
  </si>
  <si>
    <t>Supply and fixing 1" dia PVC Compact Ball valve.</t>
  </si>
  <si>
    <t>Supply and fixing 1 1/2" dia PVC Compact Ball valve.</t>
  </si>
  <si>
    <t>Foot Valve</t>
  </si>
  <si>
    <t>Supply and fixing 1" dia PVC Foot valve.</t>
  </si>
  <si>
    <t>All P.V.C. pipes should confirm to S.L.S. 147. The fittings should be of the same brand as pipes.Ratt to include to necessary all required specials and fittings  T, l bor, Clips,bends, etc</t>
  </si>
  <si>
    <t>S 27</t>
  </si>
  <si>
    <t>S 28</t>
  </si>
  <si>
    <t>S 29</t>
  </si>
  <si>
    <t>S 30</t>
  </si>
  <si>
    <t>S 31</t>
  </si>
  <si>
    <t>S 32</t>
  </si>
  <si>
    <t>S 33</t>
  </si>
  <si>
    <t>S 34</t>
  </si>
  <si>
    <t>S 35</t>
  </si>
  <si>
    <t>S 36</t>
  </si>
  <si>
    <t xml:space="preserve">Supplying and laying 4" dia.uPVC sewer pipe in wall or trenches - PNT7 (type 600) .rate to include to  Excavation, Bedding, Haunching &amp;Surrounding </t>
  </si>
  <si>
    <t>Supplying and laying 6" dia.uPVC sewer pipe - PNT7 (type 600)  Including cement concrete surrounding 1:3:6: ( 1")   Excavation, Bedding, Haunching &amp; Surrounding</t>
  </si>
  <si>
    <t>S 37</t>
  </si>
  <si>
    <t>Supplying and laying 4" dia.uPVC sewer pipe - PNT7 (type 600) fixed to wall and floor slab with uPVC clips.</t>
  </si>
  <si>
    <t xml:space="preserve"> L.ft. </t>
  </si>
  <si>
    <t>S 38</t>
  </si>
  <si>
    <t>Supplying and laying 6" dia. uPVC sewer pipe - PNT7 (type 600) fixed to wall and floor slab with uPVC clips.</t>
  </si>
  <si>
    <t>S 39</t>
  </si>
  <si>
    <t>Pipe Works</t>
  </si>
  <si>
    <t>Sewer Manhole - Concrete</t>
  </si>
  <si>
    <t>S 41</t>
  </si>
  <si>
    <t>Strom Water Manhole - Concrete</t>
  </si>
  <si>
    <r>
      <rPr>
        <b/>
        <sz val="12"/>
        <rFont val="Times New Roman"/>
        <family val="1"/>
      </rPr>
      <t>SWMH-</t>
    </r>
    <r>
      <rPr>
        <sz val="12"/>
        <rFont val="Times New Roman"/>
        <family val="1"/>
      </rPr>
      <t xml:space="preserve"> Construction of RCC sewer manhole internal size of 600mm x 600mm &amp; depth vary from 600mm to  1000mm , consist of 3" thick Grade 15 lean concrete, base and side walls 6" thick Grade 25 concrete r/f with 10mm dia. tor steel @ 8" c/c bothways , 1/2" thick cement sand rendering in 1:2 mix trowel smooth with neat grey cement to all internal surfaces and external exposed surfaces and channel with 1:6 benching. Excavation and 3" thick Grade 20 RCC cover slab with lifting hooks ( Reinforced with 10mm dia.M.S. rods @ 6" c/c both ways) </t>
    </r>
  </si>
  <si>
    <t>Construction of Septic tank  Including excavation ,backfilling, masonry work,concrete work.opening cover with lifting handles,complete with all necessary connection to working order and complete as per the detailded drawings</t>
  </si>
  <si>
    <t>Manhole/Waste/Sewer  Covers</t>
  </si>
  <si>
    <t>RCC Manhole cover - Grade 20</t>
  </si>
  <si>
    <t xml:space="preserve">RCC Manhole cover 5" thick Consist of Grade 25 concrete reinforced  with two layers 10mm dia. Tor steel bars @ 8" C/C both ways. Rate include necessary formwork, lifting hooks and placing in position. All details given in Drawing </t>
  </si>
  <si>
    <t xml:space="preserve">Sq.ft. </t>
  </si>
  <si>
    <t>Rain Water Drain</t>
  </si>
  <si>
    <t>S 45</t>
  </si>
  <si>
    <t>Construction of concrete drain 550mm width  x 300mm depth and varies up to   500mm Consists of 2'' thick Grade 15 concrete base and 3'' thick Grade 25 concrete walls , fair finish internal surface with size 1'-0'' wide x 1'-0'' depth.</t>
  </si>
  <si>
    <t>Removable Grating For  Drain</t>
  </si>
  <si>
    <t>Supplying &amp; fixing iron grating for surface drain consists of outer angle iron 2 1/2'' x 2 1/2'' x 6mm thick wlded to top angle iron 1'' x 1'' x 5mm thick @ 3'-0'' c/c horizontally and 16mm dia. tor steel @ 1" internal to internal welded to top of angle iron 1'' x 1'' x 5mm thick.Rate shall include for applying two coats of anti-corrosive paint.</t>
  </si>
  <si>
    <t>Construction of water sump , internal size is 3000mm X 2400mm X2500mm rate to include excavation and back filling,cover slab and sump open grating , formwork,concrete works, reinforcement work, water proofing works and other all related work, and neat finish and as per the details</t>
  </si>
  <si>
    <t xml:space="preserve">Supply and laying of 4" high timber skirting to match the flooring
</t>
  </si>
  <si>
    <t xml:space="preserve">Supply and laying of 4" high skirting including tile grout to match the tile of tiling 
</t>
  </si>
  <si>
    <r>
      <rPr>
        <b/>
        <sz val="11"/>
        <rFont val="Times New Roman"/>
        <family val="1"/>
      </rPr>
      <t>FF2-</t>
    </r>
    <r>
      <rPr>
        <sz val="11"/>
        <rFont val="Times New Roman"/>
        <family val="1"/>
      </rPr>
      <t xml:space="preserve"> Homogeneous Porcelain semi - glazed/matt wash room floor tile 300mm x 600mm paving on 1:3 cement &amp; sand bedding and pointed with tile grout to match the tile.(Prime Cost of tile Rs.400.00 per sqft)
</t>
    </r>
  </si>
  <si>
    <t xml:space="preserve">Supplying and laying homogeneous  porcelain  tiles 300mm X 600mm  at staircase treads including  nosing  type  paving  on  1:3  cement  &amp;  sand  bedding  and pointed with tile grout to match the tile.(Prime Cost of tile Rs.500.00 per sqft)
</t>
  </si>
  <si>
    <t>In Ground floor to First Floor</t>
  </si>
  <si>
    <t xml:space="preserve">Homogeneous Porcelain  glazed floor tile 900mm x 900mm paving on 1:3 cement &amp; sand bedding and pointed with tile grout to match the tile. (Prime Cost of tile Rs.500.00 per sqft)
</t>
  </si>
  <si>
    <t>V-MISSLENIOUS WORK</t>
  </si>
  <si>
    <r>
      <t xml:space="preserve">Mild/Tor steel reinforcement to slabs, beams, lintols, columns, footings &amp; etc.. bent to shape, laid in position and tied with         16 B.W.G. Aneal binding wire in </t>
    </r>
    <r>
      <rPr>
        <b/>
        <sz val="11"/>
        <rFont val="Times New Roman"/>
        <family val="1"/>
      </rPr>
      <t>Ground Floor.</t>
    </r>
  </si>
  <si>
    <r>
      <t>Mild/Tor steel reinforcement to slabs, beams, lintols, columns, footings &amp; etc.. bent to shape, laid in position and tied with         16 B.W.G. Aneal binding wire in</t>
    </r>
    <r>
      <rPr>
        <b/>
        <sz val="11"/>
        <rFont val="Times New Roman"/>
        <family val="1"/>
      </rPr>
      <t xml:space="preserve"> first floor .</t>
    </r>
  </si>
  <si>
    <t>Internal Painting Wall - Apply Two coats of Skim coat on slab soffit</t>
  </si>
  <si>
    <t>Internal Painting Wall - Apply  one Coat of Acrylic Filler and Two Coats of Emulsion Paints on slab soffit</t>
  </si>
  <si>
    <t>Wire cut brick (4 x 55)</t>
  </si>
  <si>
    <t xml:space="preserve">Supply, installation &amp; termination of  from MDB to DB-Lifts    </t>
  </si>
  <si>
    <t>Outdoor/Indoor wall mounted  light fitting with 18w LED bulb. (Prime cost is Rs.4,000.00)</t>
  </si>
  <si>
    <t>Supplying and install of LED 6w spot light.-  (Prime cost is Rs.5,500.00)</t>
  </si>
  <si>
    <t>Supplying and fixing of chandiler type 02 ( 1200mm dia approx)- fittings (Prime cost of the  light fitting.-  is Rs.400,000.00)</t>
  </si>
  <si>
    <t>Supplying and fixing of chandiler type 03 ( 600mm dia approx)- fittings (Prime cost of the  light fitting.-  is Rs.200,000.00)</t>
  </si>
  <si>
    <t>150mm x 150mm LED 18w ceiling surface/slab raised mounted  light fitting. -    (Prime cost is Rs.5,500.00)</t>
  </si>
  <si>
    <t>Supplying and install of LED 6w Stair step light.-  (Prime cost is Rs.3,500.00)</t>
  </si>
  <si>
    <t>Supplying and install of LED 6w down light.-  (Prime cost is Rs.5,500.00)</t>
  </si>
  <si>
    <t>01 No. 4P 63A MCCB (16kA Breaking capacity), 01 No. 4P 40A MCCB (16kA Breaking capacity),01 No. 2P 32A, MCB (16kA Breaking capacity),02 Nos. 1P 10A MCB (6kA Breaking capacity),02 Nos. 1P 20A MCB (6kA Breaking capacity),01 No. 2P 40A, 30mA RCCB, and nessasary bus bar and protective system and Cables Lugs and other suppotive meterials1</t>
  </si>
  <si>
    <r>
      <rPr>
        <b/>
        <sz val="12"/>
        <rFont val="Times New Roman"/>
        <family val="1"/>
      </rPr>
      <t xml:space="preserve">Light Point Wiring (10A Circuits)-indoor/outdoor   </t>
    </r>
    <r>
      <rPr>
        <sz val="12"/>
        <rFont val="Times New Roman"/>
        <family val="1"/>
      </rPr>
      <t xml:space="preserve">                                                                                       Supply &amp; Installation of light Point Wiring, by using 2x1C 1.5mm^2 Cu/PVC/PVC Cable + 1C 1.5 mm^2 Cu/PVC Earth Cable through slab &amp; wall in PVC conduits including PVC conduits, sunk box, junction box, 10A PVC Switch and complete with all other relevant accessories. </t>
    </r>
  </si>
  <si>
    <r>
      <rPr>
        <b/>
        <sz val="12"/>
        <rFont val="Times New Roman"/>
        <family val="1"/>
      </rPr>
      <t xml:space="preserve">Two way light Point Wiring (10A Circuits) </t>
    </r>
    <r>
      <rPr>
        <sz val="12"/>
        <rFont val="Times New Roman"/>
        <family val="1"/>
      </rPr>
      <t xml:space="preserve">                                                                                          Supply &amp; Installation of 2way light Point Wiring, by using 2x1C 1.5mm^2 Cu/PVC/PVC Cable + 1C 1.5 mm^2 Cu/PVC Earth Cable through slab &amp; wall in PVC conduits including PVC conduits, sunk box, junction box, 10A PVC 2 way Switches and complete with all other relevant accessories. </t>
    </r>
  </si>
  <si>
    <r>
      <rPr>
        <b/>
        <sz val="12"/>
        <rFont val="Times New Roman"/>
        <family val="1"/>
      </rPr>
      <t xml:space="preserve">Fan Point Wiring - (10A Circuits )    </t>
    </r>
    <r>
      <rPr>
        <sz val="12"/>
        <rFont val="Times New Roman"/>
        <family val="1"/>
      </rPr>
      <t xml:space="preserve">                                                                                                                                                                                                                                                                     Supply &amp; installation of Fan Point wiring, by using 2X1C 1.5mm^2 Cu/PVC /PVC Cable +  1C 1.5 mm^2 Cu/PVC earth Cable through slab &amp; wall in PVC conduits including PVC conduits, junction boxes, sunk boxes, 10A PVC Switch, and complete with all other relevant accessories.</t>
    </r>
  </si>
  <si>
    <r>
      <rPr>
        <b/>
        <sz val="12"/>
        <rFont val="Times New Roman"/>
        <family val="1"/>
      </rPr>
      <t xml:space="preserve">Supply &amp; Installation of ceiling fans- Brand - KDK (model need to be finalized with architect)   </t>
    </r>
    <r>
      <rPr>
        <sz val="12"/>
        <rFont val="Times New Roman"/>
        <family val="1"/>
      </rPr>
      <t xml:space="preserve">                                                                                                                                                                                                                                                                      Supply &amp; Installation of ceiling fan (Diameter-56") and speed regulator with roll plugs, screws, metal hooks (Fan hook need to be passed through the slab and properly  connected) and complete with all other relevant accessories. </t>
    </r>
  </si>
  <si>
    <r>
      <rPr>
        <b/>
        <sz val="12"/>
        <rFont val="Times New Roman"/>
        <family val="1"/>
      </rPr>
      <t>Installation of light fittings-indoor/outdoor</t>
    </r>
    <r>
      <rPr>
        <sz val="12"/>
        <rFont val="Times New Roman"/>
        <family val="1"/>
      </rPr>
      <t xml:space="preserve">                                                                                                                                                                                                                                                                          Installation of light fittings including roll plugs, screws and complete with all other relevant accessories.                                                                                                                                                                                 </t>
    </r>
  </si>
  <si>
    <r>
      <rPr>
        <b/>
        <sz val="11"/>
        <rFont val="Times New Roman"/>
        <family val="1"/>
      </rPr>
      <t>P1</t>
    </r>
    <r>
      <rPr>
        <sz val="11"/>
        <rFont val="Times New Roman"/>
        <family val="1"/>
      </rPr>
      <t xml:space="preserve">  in 37.5mm x 25mm x 1.4mm thick hairline finished stainless steel 'U' channel framed work and 12mm thick tempered glass with printed PVC stickering  fixed with silicon joints  as per the detailed drawing and finishes as specified as per the drawings</t>
    </r>
  </si>
  <si>
    <t>Size 5000mmx3200mm</t>
  </si>
  <si>
    <t>With Material</t>
  </si>
  <si>
    <t>Large Motor with Electrical unit + Roller Door</t>
  </si>
  <si>
    <t>Sub Contractor's Rate for Concrete Structure</t>
  </si>
  <si>
    <t>Basic Cost per unit</t>
  </si>
  <si>
    <t>Allow sum for Bonds and Gurantee</t>
  </si>
  <si>
    <t>Allow lump sum for constructing, maintaining, dismantling and removal on completion of the Works, building to be uses as workshops and stores for perishable materials. Buildings shall be constructed in accordance with the drawing prepared by the Contractor and concurred by the Engineer</t>
  </si>
  <si>
    <t>Allow lump sum for provision of progress reports including photograplic records and other schedules included in the CIDA publication Guidelines for Effective Construction Managenent. (CIDA/CM/01), relevant administration as directed by the Engineer.</t>
  </si>
  <si>
    <t>Allow lunp sum for all cost in connection with preparing samples for testing, making arrangements for testing of Materials, Goods etc, submission of shop drawings as stipalated in the specification, obtaining test reports and submitting the same to the Engineer,</t>
  </si>
  <si>
    <t>Allow lump sum for providing and maintaining necessary hoarding and gates for safeguarding the Works, Materials and Plant, as directed by the Engineer. Corrugated sheet/Zn allow wall sheet   GI gramed hoarding  height 8ft and to necessary perimetor area</t>
  </si>
  <si>
    <t xml:space="preserve">Allow lump sum for demobilization, removal of all rubbish &amp; debris and clearing up site on completion, leaving all-in good order and handing over. </t>
  </si>
  <si>
    <t>Allow sum for removeing of surface water and ground water</t>
  </si>
  <si>
    <t>The Contractor shall protect and maintain the approaches to the site, clear of mud and debris including providing a water pressure gun  with all connected services. The contractor also shall  make good any damage attributable to the works at his own expense or pay all costs, charges in connection therewith.</t>
  </si>
  <si>
    <t>Security and Protection</t>
  </si>
  <si>
    <t>Allow lump sum for employing an adequate number of security personnesl and security systems on full time basis through out the period of construction, and provide for necessary security lighting and a warning systcm.</t>
  </si>
  <si>
    <t>Allow lump sum for providing and maintaining a name board, approximately 2.1mX1.5m size with GI frame at 2.1m above ground level as directed for construction pereiod.</t>
  </si>
  <si>
    <t>Outdoor Flatform Work</t>
  </si>
  <si>
    <t>Construction of outdoor flatform work, main structure complete with 100mmx75mm sectional size I section and cladded with Treated Teak planks and applying of suitable coats of wood presavative and enemal paints and complete as per the design (item price include to stiars)</t>
  </si>
  <si>
    <t>V - MISSLENIOUS WORK CARRIED TO GRAND SUMMARY</t>
  </si>
  <si>
    <t>Application of cementitious water proofing using Barralastic or approved equivalnt for internal wet areas such as toilet floors and walls (Walls Up to 1.60m) where the surfaces are not directly exposed to sunlight and weathering. Rate will include to  cleaning the substrate and 1:3 cement sand bedding and all other work as per manufacturer's specifications on application and shall include ponding test for a 300mm water height kept for a period of 48 hours for horizontal surfaces.</t>
  </si>
  <si>
    <t>2nd Floor</t>
  </si>
  <si>
    <t>Terrace Floor</t>
  </si>
  <si>
    <t>Areas exposed to sunlight (Balconies, Sun-Shades Concrete Gutters , Slab Top ,etc) (Elastomeric water proofing using thoroseal or approved equivalent.)</t>
  </si>
  <si>
    <t>1st Floor</t>
  </si>
  <si>
    <t>3rd Floor /Terrace Floor</t>
  </si>
  <si>
    <t>Vertical solid walls,115mm thick.</t>
  </si>
  <si>
    <t>Brick work in cement and sand 1:5 in super Structure. ( 9" thick brick work)</t>
  </si>
  <si>
    <t>Brick Work in cement and sand 1:8 . (4 1/2"  thick brick work)</t>
  </si>
  <si>
    <t>F.1</t>
  </si>
  <si>
    <t>F.2</t>
  </si>
  <si>
    <t>F.3</t>
  </si>
  <si>
    <t>F.4</t>
  </si>
  <si>
    <t>G.1</t>
  </si>
  <si>
    <t>G.2</t>
  </si>
  <si>
    <t>G.3</t>
  </si>
  <si>
    <t>G.4</t>
  </si>
  <si>
    <t>In Terrace Floor</t>
  </si>
  <si>
    <t xml:space="preserve">Plastering 5/8" thick to reveals in cement and sand 1:5 finished semi-rough. Rate includes cost of "Febmix"as a workability enhancer. 
</t>
  </si>
  <si>
    <t>K.3.1</t>
  </si>
  <si>
    <t>K.3.2</t>
  </si>
  <si>
    <t>K.3.3</t>
  </si>
  <si>
    <t>K.3.4</t>
  </si>
  <si>
    <t>K5.1</t>
  </si>
  <si>
    <t>K5.2</t>
  </si>
  <si>
    <t>K5.3</t>
  </si>
  <si>
    <t>K5.4</t>
  </si>
  <si>
    <t>Plastering 5/8" thick to reveals in cement andsand 1:5 finished smooth with two coats of skim coat in ground floor.Rate includes cost of "Febmix"as a workability enhancer.</t>
  </si>
  <si>
    <t>In First floor slab</t>
  </si>
  <si>
    <t>In Second Floor slab</t>
  </si>
  <si>
    <t>In Terrace Floor slab</t>
  </si>
  <si>
    <t>Roof Flab slab</t>
  </si>
  <si>
    <t>M3.5</t>
  </si>
  <si>
    <t>The earth will be free of vegetation, roots, boulders, easily decomposable materials, chemicals, industrial waste, plastic etc.</t>
  </si>
  <si>
    <t xml:space="preserve">Qurry Dust and ABC Filling </t>
  </si>
  <si>
    <t>Supplying and laying of treated timber kumbuk flooring for Staircase Floor. (Rate to include to floor bed and other necessasry related work)</t>
  </si>
  <si>
    <t>Staircase (Ground Floor to 1st Floor)</t>
  </si>
  <si>
    <t>Staircase (1st Floor to 2nd Floor)</t>
  </si>
  <si>
    <t>Staircase (2nd Floor to Terrace Floor)</t>
  </si>
  <si>
    <t>In Ground Floor Bathroom</t>
  </si>
  <si>
    <t>In 1st Floor Bathroom</t>
  </si>
  <si>
    <t>In 2nd Floor Bathroom</t>
  </si>
  <si>
    <t>In Terrace Floor Bathroom</t>
  </si>
  <si>
    <t>In 1st Floor</t>
  </si>
  <si>
    <t>In 2nd Floor</t>
  </si>
  <si>
    <t>Tiling For Bathroom</t>
  </si>
  <si>
    <t xml:space="preserve">Homogeneous Porcelain semi - glazed/matt wash room floor tile 600mm x 600mm paving on 1:3 cement &amp; sand bedding and pointed with tile grout to match the tile. (Prime Cost of tile Rs.500.00 per sqft) 
</t>
  </si>
  <si>
    <t xml:space="preserve">Homogeneous Porcelain glazed Wall tile 300mm x 600mm paving on plaster and pointed with tile grout to match the tile. (Prime Cost of tile Rs.550.00 per sqft)
</t>
  </si>
  <si>
    <t>LIVING &amp; BEDROOM FLOOR TILE</t>
  </si>
  <si>
    <t>BALCONY FLOOR TILE</t>
  </si>
  <si>
    <t>In 1st floor</t>
  </si>
  <si>
    <t>In 2nd floor</t>
  </si>
  <si>
    <t>In Terrace floor</t>
  </si>
  <si>
    <t xml:space="preserve">Homogeneous Porcelain semi - glazed/matt Balcony floor tile 450mm x450mm paving on 1:3 cement &amp; sand bedding and pointed with tile grout to match the tile.(Prime Cost of tile Rs.500.00 per sqft)
</t>
  </si>
  <si>
    <t>GROUND PARKING AREA</t>
  </si>
  <si>
    <t>TERRACE FLOOR</t>
  </si>
  <si>
    <t>Provide by client.</t>
  </si>
  <si>
    <t>Free of charge</t>
  </si>
  <si>
    <t>Month</t>
  </si>
  <si>
    <t>Provide by Client</t>
  </si>
  <si>
    <t>Ps</t>
  </si>
  <si>
    <t>G50 Concrete (mixed at site either manually or with machine)</t>
  </si>
  <si>
    <t>Grade 25 concrete will be used for footings, columns, beams,staircases, tie-beams of reinforced concrete elements in multi-storied building (excluding lintols, stiffener columns, copings, non-structural
columns and Drains).</t>
  </si>
  <si>
    <t xml:space="preserve">Volume Batched Grade 25 concrete prepared at site using mixer and vibrator in ground floor.Rate has been included the cost of curing continuously for 7 days. Upto DPC.
</t>
  </si>
  <si>
    <t xml:space="preserve">Volume Batched Grade 20/ready mix  reinforced concrete floors laid on ground.   Rate has been included the cost of curing continously  for 10 days. ( rate include to transport from batching plant. inclue for placing, levelling, vibrating &amp; curing the concrete &amp; pump car cost) </t>
  </si>
  <si>
    <t xml:space="preserve">Volume Batched Grade 25 concrete prepared at site using mixer or Grade 25 ready mix (rate include to transport from batching plant. Rate has been included for placing, levelling, vibrating &amp; curing the concrete &amp; pump car cost)  and vibrator  in ground  floor. and include  the  cost  of curing continously for 7 days. </t>
  </si>
  <si>
    <t>Mild steel and Tor steel bars confirming to BS specifications, tensile strength 250 N/mm2 and 460 N/mm2 respectively, in reinforcements. Rate has been included for lapping, cutting, bending, fabricating, concrete distance blocks, stools, and fixing with binding wires in: spacer bars, placing in position as per the structural drawings</t>
  </si>
  <si>
    <t xml:space="preserve">Ready mix concrete of grade 20(20 N/mm2) confirming to SLS 1144- 1997, rate include to transport from batching plant. Rate has been inclued for placing, levelling, vibrating &amp; curing the concrete &amp; pump car cost.
</t>
  </si>
  <si>
    <t>In column shaft from Second floor level to Terrace floor level</t>
  </si>
  <si>
    <t>In column shaft from Terrace floor level to Roof level</t>
  </si>
  <si>
    <t>In staircase from Second  floor level to Terrace floor level</t>
  </si>
  <si>
    <t>In Reinforced beam at Roof  level</t>
  </si>
  <si>
    <t>In Reinforced Slab at Roof  level</t>
  </si>
  <si>
    <t>Shuttering for sides of foundation with 15mm thick Plywood board including dismantling.</t>
  </si>
  <si>
    <t>In Slab at First floor level</t>
  </si>
  <si>
    <t>In beam at Roof Top floor level</t>
  </si>
  <si>
    <t>In column from ground floor level to First floor level</t>
  </si>
  <si>
    <t xml:space="preserve">In column shaft from  Second floor level to Terrace Level </t>
  </si>
  <si>
    <t>In column shaft from  Terrace Level to Roof Level</t>
  </si>
  <si>
    <t>In Beams (1st Floor Slab)</t>
  </si>
  <si>
    <t>In  Floor Slab (1st Floor Slab)</t>
  </si>
  <si>
    <t>In Beams (2nd Floor Slab)</t>
  </si>
  <si>
    <t>In  Floor Slab (2nd Floor Slab)</t>
  </si>
  <si>
    <t>In Beams (Terrace Slab)</t>
  </si>
  <si>
    <t>In  Floor Slab (Terrace Slab)</t>
  </si>
  <si>
    <t>In Beams (Roof Slab)</t>
  </si>
  <si>
    <t>In  Floor Slab (Roof Slab)</t>
  </si>
  <si>
    <t>In Staircase (2nd Floor to Terrace Floor)</t>
  </si>
  <si>
    <r>
      <t xml:space="preserve">Mild/Tor steel reinforcement to slabs, beams, lintols, columns, footings &amp; etc.. bent to shape, laid in position and tied with         16 B.W.G. Aneal binding wire in </t>
    </r>
    <r>
      <rPr>
        <b/>
        <sz val="11"/>
        <rFont val="Times New Roman"/>
        <family val="1"/>
      </rPr>
      <t>Second Floor</t>
    </r>
  </si>
  <si>
    <r>
      <t xml:space="preserve">Mild/Tor steel reinforcement to slabs, beams, lintols, columns, footings &amp; etc.. bent to shape, laid in position and tied with         16 B.W.G. Aneal binding wire in </t>
    </r>
    <r>
      <rPr>
        <b/>
        <sz val="11"/>
        <rFont val="Times New Roman"/>
        <family val="1"/>
      </rPr>
      <t>Roof</t>
    </r>
    <r>
      <rPr>
        <sz val="11"/>
        <rFont val="Times New Roman"/>
        <family val="1"/>
      </rPr>
      <t xml:space="preserve"> </t>
    </r>
    <r>
      <rPr>
        <b/>
        <sz val="11"/>
        <rFont val="Times New Roman"/>
        <family val="1"/>
      </rPr>
      <t>Slab</t>
    </r>
    <r>
      <rPr>
        <sz val="11"/>
        <rFont val="Times New Roman"/>
        <family val="1"/>
      </rPr>
      <t>.</t>
    </r>
  </si>
  <si>
    <t>D 3.6</t>
  </si>
  <si>
    <t>E4.3</t>
  </si>
  <si>
    <t>E5.3</t>
  </si>
  <si>
    <r>
      <rPr>
        <b/>
        <sz val="12"/>
        <rFont val="Times New Roman"/>
        <family val="1"/>
      </rPr>
      <t xml:space="preserve">MH- </t>
    </r>
    <r>
      <rPr>
        <sz val="12"/>
        <rFont val="Times New Roman"/>
        <family val="1"/>
      </rPr>
      <t>Construction of waste water concrete manhole internal size of 450mm x 450mm &amp; depth vary from 600mm to  900mm ,, consist of 3" thick Grade15 lean concrete &amp; 5" thick Grade 25 RCC base and sides, 1/2" thick cement sand rendering in 1:2 mix trowel smooth with neat grey cement to all internal surfaces and external exposed surfaces. Excavation and 3" thick Grade 20 RCC cover slab with lifting hooks ( Reinforced with 10mm dia.M.S. rods @ 6" c/c both ways)</t>
    </r>
  </si>
  <si>
    <r>
      <rPr>
        <b/>
        <sz val="12"/>
        <rFont val="Times New Roman"/>
        <family val="1"/>
      </rPr>
      <t>WMH-</t>
    </r>
    <r>
      <rPr>
        <sz val="12"/>
        <rFont val="Times New Roman"/>
        <family val="1"/>
      </rPr>
      <t xml:space="preserve"> Construction of RCC sewer manhole internal size of 450mm x 450mm &amp; depth vary from 600mm to  900mm , consist of 3" thick Grade 15 lean concrete, base and side walls 6" thick Grade 25 concrete r/f with 10mm dia. tor steel @ 8" c/c bothways , 1/2" thick cement sand rendering in 1:2 mix trowel smooth with neat grey cement to all internal surfaces and external exposed surfaces and channel with 1:6 benching. Excavation and 3" thick Grade 20 RCC cover slab with lifting hooks ( Reinforced with 10mm dia.M.S. rods @ 6" c/c both ways) </t>
    </r>
  </si>
  <si>
    <t>B 9</t>
  </si>
  <si>
    <t>Testing</t>
  </si>
  <si>
    <t>For Ground Floor</t>
  </si>
  <si>
    <t>For 1st Floor</t>
  </si>
  <si>
    <t>For 2nd Floor</t>
  </si>
  <si>
    <t>For Terrace Floor</t>
  </si>
  <si>
    <t xml:space="preserve">Construction swimming pool and plant room  </t>
  </si>
  <si>
    <t>m³</t>
  </si>
  <si>
    <t>m²</t>
  </si>
  <si>
    <t>walls</t>
  </si>
  <si>
    <t>Walls</t>
  </si>
  <si>
    <t>Rendering work</t>
  </si>
  <si>
    <t>Pool Tiling Work</t>
  </si>
  <si>
    <t>Pool floor tile</t>
  </si>
  <si>
    <t>Pool wall tile</t>
  </si>
  <si>
    <t xml:space="preserve">Timber plank Decking at Swimming Pool </t>
  </si>
  <si>
    <t>Drain in around pool</t>
  </si>
  <si>
    <t>Water bar</t>
  </si>
  <si>
    <t>Pool Equipment including Lightfittings</t>
  </si>
  <si>
    <t>Testing &amp; Commissioning</t>
  </si>
  <si>
    <t>V04.1</t>
  </si>
  <si>
    <t>V04.2</t>
  </si>
  <si>
    <t>V04.3</t>
  </si>
  <si>
    <t>V04.4</t>
  </si>
  <si>
    <t>V04.5</t>
  </si>
  <si>
    <t>V05.1</t>
  </si>
  <si>
    <t>V05.2</t>
  </si>
  <si>
    <t>V05.3</t>
  </si>
  <si>
    <t>V05.4</t>
  </si>
  <si>
    <t>Supplying of pendent light (Type 01) fittings as per the proposal(Pc sum is Rs. 40,000.00)</t>
  </si>
  <si>
    <t>V05.5</t>
  </si>
  <si>
    <t>V05.6</t>
  </si>
  <si>
    <t>V05.7</t>
  </si>
  <si>
    <t>Supplying of pendent light (Type 03) fittings as per the proposal(Pc sum is Rs. 60,000.00)</t>
  </si>
  <si>
    <t>V05.8</t>
  </si>
  <si>
    <t>Supplying and install of 3 nr of Spot light track light system as per the design (Prime cost is Rs. 42,000.00)</t>
  </si>
  <si>
    <t>V05.9</t>
  </si>
  <si>
    <t>V05.10</t>
  </si>
  <si>
    <r>
      <rPr>
        <b/>
        <sz val="12"/>
        <rFont val="Times New Roman"/>
        <family val="1"/>
      </rPr>
      <t xml:space="preserve">Point wiring for socket outlets 13A - ( 16A Circuits) </t>
    </r>
    <r>
      <rPr>
        <sz val="12"/>
        <rFont val="Times New Roman"/>
        <family val="1"/>
      </rPr>
      <t xml:space="preserve">                                                         Supply, Installation &amp; wiring of 13A power Socket Outlet, by using 2x1C 2.5mm^2 Cu /PVC/PVC Cable + 1C 2.5 mm^2 Cu/PVC Earth Cable (in radial circuit) through slab &amp; wall in PVC conduits including PVC conduits, sunk box, junction box, outlet and complete with all other relevant accessories. </t>
    </r>
  </si>
  <si>
    <t>Floor Finishing For Staircase</t>
  </si>
  <si>
    <t xml:space="preserve">Homogeneous Porcelain semi - glazed/matt Balcony floor tile 600mm x 600mm paving on 1:3 cement &amp; sand bedding and pointed with tile grout to match the tile.(Prime Cost of tile Rs.500.00 per sqft)
</t>
  </si>
  <si>
    <t>L01</t>
  </si>
  <si>
    <t>L01.1</t>
  </si>
  <si>
    <t>L01.2</t>
  </si>
  <si>
    <t>L01.1.1</t>
  </si>
  <si>
    <t>L01.1.2</t>
  </si>
  <si>
    <t>L01.1.3</t>
  </si>
  <si>
    <t>L01.2.1</t>
  </si>
  <si>
    <t>L01.2.2</t>
  </si>
  <si>
    <t>L01.2.3</t>
  </si>
  <si>
    <t>L02</t>
  </si>
  <si>
    <t>L02.1</t>
  </si>
  <si>
    <t>L02.1.1</t>
  </si>
  <si>
    <t>L02.1.2</t>
  </si>
  <si>
    <t>L02.1.3</t>
  </si>
  <si>
    <t>L02.1.4</t>
  </si>
  <si>
    <t>L02.2</t>
  </si>
  <si>
    <t>L02.2.1</t>
  </si>
  <si>
    <t>L02.2.2</t>
  </si>
  <si>
    <t>L02.2.3</t>
  </si>
  <si>
    <t>L02.2.4</t>
  </si>
  <si>
    <t>Tiles (600 x 600mm) (Tile P.C. Rs.550 per 1ft2)</t>
  </si>
  <si>
    <t>L03</t>
  </si>
  <si>
    <t>L03.1</t>
  </si>
  <si>
    <t>L03.1.1</t>
  </si>
  <si>
    <t>L03.1.2</t>
  </si>
  <si>
    <t>L03.1.3</t>
  </si>
  <si>
    <t>L03.1.4</t>
  </si>
  <si>
    <t xml:space="preserve">Homogeneous Porcelain  glazed floor tile 600mm x 600mm paving on 1:3 cement &amp; sand bedding and pointed with tile grout to match the tile. (Prime Cost of tile Rs.500.00 per sqft) 
</t>
  </si>
  <si>
    <t>L03.2</t>
  </si>
  <si>
    <t>L03.2.1</t>
  </si>
  <si>
    <t>L03.2.2</t>
  </si>
  <si>
    <t>L03.2.3</t>
  </si>
  <si>
    <t>L03.2.4</t>
  </si>
  <si>
    <t>L04</t>
  </si>
  <si>
    <t>L04.1</t>
  </si>
  <si>
    <t>L04.1.1</t>
  </si>
  <si>
    <t>L04.1.2</t>
  </si>
  <si>
    <t>L04.1.3</t>
  </si>
  <si>
    <t>L04.2</t>
  </si>
  <si>
    <t>L04.2.1</t>
  </si>
  <si>
    <t>L04.2.2</t>
  </si>
  <si>
    <t>L04.2.3</t>
  </si>
  <si>
    <t>L05</t>
  </si>
  <si>
    <t>L05.1</t>
  </si>
  <si>
    <t>L06</t>
  </si>
  <si>
    <t>L06.1</t>
  </si>
  <si>
    <t>In Reinforced slab at Terrace floor level (with Swimming Pool)</t>
  </si>
  <si>
    <t>In Reinforced beam at Terrace floor level (with Swimming Pool)</t>
  </si>
  <si>
    <t>In  Slab at Terrace floor level (with Swimming Pool)</t>
  </si>
  <si>
    <t>In beam at Terrace floor level (with Swimming Pool)</t>
  </si>
  <si>
    <t>E4.4</t>
  </si>
  <si>
    <t>6" Concrete wall</t>
  </si>
  <si>
    <r>
      <t xml:space="preserve">Door type </t>
    </r>
    <r>
      <rPr>
        <b/>
        <sz val="11"/>
        <rFont val="Times New Roman"/>
        <family val="1"/>
      </rPr>
      <t>D2</t>
    </r>
    <r>
      <rPr>
        <sz val="11"/>
        <rFont val="Times New Roman"/>
        <family val="1"/>
      </rPr>
      <t xml:space="preserve"> size 1000mm x 2400mm Teak Timber Framed Solid Teak Timber single slash door  as per the detail drawings with all necessary iron mongaries</t>
    </r>
  </si>
  <si>
    <r>
      <t xml:space="preserve">Door type </t>
    </r>
    <r>
      <rPr>
        <b/>
        <sz val="11"/>
        <rFont val="Times New Roman"/>
        <family val="1"/>
      </rPr>
      <t>D3</t>
    </r>
    <r>
      <rPr>
        <sz val="11"/>
        <rFont val="Times New Roman"/>
        <family val="1"/>
      </rPr>
      <t xml:space="preserve"> size 825mm x 2400mm Teak Timber Framed Solid Teak Timber single slash door  as per the detail drawings with all necessary iron mongaries</t>
    </r>
  </si>
  <si>
    <r>
      <t xml:space="preserve">Door type </t>
    </r>
    <r>
      <rPr>
        <b/>
        <sz val="11"/>
        <rFont val="Times New Roman"/>
        <family val="1"/>
      </rPr>
      <t>D4</t>
    </r>
    <r>
      <rPr>
        <sz val="11"/>
        <rFont val="Times New Roman"/>
        <family val="1"/>
      </rPr>
      <t xml:space="preserve"> size 1000mm x 2700mm Teak Timber Framed Solid Teak Timber single slash door  as per the detail drawings with all necessary iron mongaries</t>
    </r>
  </si>
  <si>
    <r>
      <t xml:space="preserve">Door type </t>
    </r>
    <r>
      <rPr>
        <b/>
        <sz val="11"/>
        <rFont val="Times New Roman"/>
        <family val="1"/>
      </rPr>
      <t>GD</t>
    </r>
    <r>
      <rPr>
        <sz val="11"/>
        <rFont val="Times New Roman"/>
        <family val="1"/>
      </rPr>
      <t xml:space="preserve"> size 900mm x 2700mm Teak Timber Framed Solid Teak Timber single slash door  as per the detail drawings with all necessary iron mongaries</t>
    </r>
  </si>
  <si>
    <t>Staircase &amp; Balcony handrail (6mm Tempered Glass / SS Box bar etc. )as per the design</t>
  </si>
  <si>
    <r>
      <t xml:space="preserve">Window type </t>
    </r>
    <r>
      <rPr>
        <b/>
        <sz val="11"/>
        <rFont val="Times New Roman"/>
        <family val="1"/>
      </rPr>
      <t xml:space="preserve">W1 </t>
    </r>
    <r>
      <rPr>
        <sz val="11"/>
        <rFont val="Times New Roman"/>
        <family val="1"/>
      </rPr>
      <t>, size 4425mm x1800mm Powder coated aluminum glazed Sliding window, complete with all necessary ironmongeries and complete as per thedetail drawings.</t>
    </r>
  </si>
  <si>
    <r>
      <t xml:space="preserve">Window type </t>
    </r>
    <r>
      <rPr>
        <b/>
        <sz val="11"/>
        <rFont val="Times New Roman"/>
        <family val="1"/>
      </rPr>
      <t xml:space="preserve">SD1 </t>
    </r>
    <r>
      <rPr>
        <sz val="11"/>
        <rFont val="Times New Roman"/>
        <family val="1"/>
      </rPr>
      <t>, size 4425mm x 2700mm Powder coated aluminum glazed Sliding window, complete with all necessary ironmongeries and complete as per thedetail drawings.</t>
    </r>
  </si>
  <si>
    <r>
      <t xml:space="preserve">Window type </t>
    </r>
    <r>
      <rPr>
        <b/>
        <sz val="11"/>
        <rFont val="Times New Roman"/>
        <family val="1"/>
      </rPr>
      <t>FG1</t>
    </r>
    <r>
      <rPr>
        <sz val="11"/>
        <rFont val="Times New Roman"/>
        <family val="1"/>
      </rPr>
      <t>, size 2100mm x 2400mm Powder coated aluminum Fix glazed window, complete with all necessary equipments  and complete as per thedetail drawings.</t>
    </r>
  </si>
  <si>
    <r>
      <t xml:space="preserve">Fanlight type </t>
    </r>
    <r>
      <rPr>
        <b/>
        <sz val="11"/>
        <rFont val="Times New Roman"/>
        <family val="1"/>
      </rPr>
      <t xml:space="preserve">FL1 </t>
    </r>
    <r>
      <rPr>
        <sz val="11"/>
        <rFont val="Times New Roman"/>
        <family val="1"/>
      </rPr>
      <t>, size 900mm x 1500mm   high overall Powder Coated fanlight, complete with all necessary ironmongeries.</t>
    </r>
  </si>
  <si>
    <r>
      <t xml:space="preserve">Fanlight type </t>
    </r>
    <r>
      <rPr>
        <b/>
        <sz val="11"/>
        <rFont val="Times New Roman"/>
        <family val="1"/>
      </rPr>
      <t>F2</t>
    </r>
    <r>
      <rPr>
        <sz val="11"/>
        <rFont val="Times New Roman"/>
        <family val="1"/>
      </rPr>
      <t xml:space="preserve"> , size 600mm x 1500mm   high overall Powder Coated fanlight, complete with all necessary ironmongeries.</t>
    </r>
  </si>
  <si>
    <r>
      <t xml:space="preserve">Window type </t>
    </r>
    <r>
      <rPr>
        <b/>
        <sz val="11"/>
        <rFont val="Times New Roman"/>
        <family val="1"/>
      </rPr>
      <t xml:space="preserve">W2 </t>
    </r>
    <r>
      <rPr>
        <sz val="11"/>
        <rFont val="Times New Roman"/>
        <family val="1"/>
      </rPr>
      <t>, size 1200mm x 1650mm Powder coated aluminum glazed Sliding window, complete with all necessary ironmongeries and complete as per thedetail drawings.</t>
    </r>
  </si>
  <si>
    <r>
      <t xml:space="preserve">Window type </t>
    </r>
    <r>
      <rPr>
        <b/>
        <sz val="11"/>
        <rFont val="Times New Roman"/>
        <family val="1"/>
      </rPr>
      <t xml:space="preserve">SD2 </t>
    </r>
    <r>
      <rPr>
        <sz val="11"/>
        <rFont val="Times New Roman"/>
        <family val="1"/>
      </rPr>
      <t>, size 4350mm x 2700mm Powder coated aluminum glazed Sliding window, complete with all necessary ironmongeries and complete as per thedetail drawings.</t>
    </r>
  </si>
  <si>
    <r>
      <t xml:space="preserve">Window type </t>
    </r>
    <r>
      <rPr>
        <b/>
        <sz val="11"/>
        <rFont val="Times New Roman"/>
        <family val="1"/>
      </rPr>
      <t xml:space="preserve">SD3 </t>
    </r>
    <r>
      <rPr>
        <sz val="11"/>
        <rFont val="Times New Roman"/>
        <family val="1"/>
      </rPr>
      <t>, size 2400mm x 2700mm Powder coated aluminum glazed Sliding window, complete with all necessary ironmongeries and complete as per thedetail drawings.</t>
    </r>
  </si>
  <si>
    <r>
      <t xml:space="preserve">Window type </t>
    </r>
    <r>
      <rPr>
        <b/>
        <sz val="11"/>
        <rFont val="Times New Roman"/>
        <family val="1"/>
      </rPr>
      <t xml:space="preserve">SD4 </t>
    </r>
    <r>
      <rPr>
        <sz val="11"/>
        <rFont val="Times New Roman"/>
        <family val="1"/>
      </rPr>
      <t>, size 3600mm x 2700mm Powder coated aluminum glazed Sliding window, complete with all necessary ironmongeries and complete as per thedetail drawings.</t>
    </r>
  </si>
  <si>
    <r>
      <t xml:space="preserve">Window type </t>
    </r>
    <r>
      <rPr>
        <b/>
        <sz val="11"/>
        <rFont val="Times New Roman"/>
        <family val="1"/>
      </rPr>
      <t xml:space="preserve">SD5 </t>
    </r>
    <r>
      <rPr>
        <sz val="11"/>
        <rFont val="Times New Roman"/>
        <family val="1"/>
      </rPr>
      <t>, size 2025mm x 2700mm Powder coated aluminum glazed Sliding window, complete with all necessary ironmongeries and complete as per thedetail drawings.</t>
    </r>
  </si>
  <si>
    <t>Tile will be Homogenous, porcelain floor tiles of
industrial grade floor tile range manufactured by Rocell , Lanka Tile or approved equivalent.</t>
  </si>
  <si>
    <t>Floor Area</t>
  </si>
  <si>
    <t>Pool Floor</t>
  </si>
  <si>
    <t>Pool Wall</t>
  </si>
  <si>
    <t>GYM /GAMMING AREA</t>
  </si>
  <si>
    <t>L.07</t>
  </si>
  <si>
    <t>L.07.1</t>
  </si>
  <si>
    <t>Swimming Pool Ladders</t>
  </si>
  <si>
    <t>Plaster work</t>
  </si>
  <si>
    <t>Pool bed</t>
  </si>
  <si>
    <t>A.1</t>
  </si>
  <si>
    <t>A.2</t>
  </si>
  <si>
    <t>Pool Internal Wall</t>
  </si>
  <si>
    <t>Pool External Wall</t>
  </si>
  <si>
    <t>Submasible Pump</t>
  </si>
  <si>
    <t>Pressure Pump</t>
  </si>
  <si>
    <t>Filter Room /Accessories and Pool pipe network</t>
  </si>
  <si>
    <t>Water Sump (250cuft Capacity)</t>
  </si>
  <si>
    <t xml:space="preserve">CONSTRUCTION OF SWIMMING POOL (700 CUFT) AND PLANT ROOM </t>
  </si>
  <si>
    <t>V- SWIMMING POOL (700 CUFT)</t>
  </si>
  <si>
    <t xml:space="preserve">PROPOSED RESIDENT FOR MR. RIZWAN AT DEMATAGODA </t>
  </si>
  <si>
    <t>SWIMMING POOL (700 CUFT)</t>
  </si>
  <si>
    <t>Cold water pipe Network.</t>
  </si>
  <si>
    <t>Waste water pipe Network.</t>
  </si>
  <si>
    <t>Sewer pipe network</t>
  </si>
  <si>
    <t xml:space="preserve">BILL ITEM </t>
  </si>
  <si>
    <t>Charges for verifying the wiring done with meggar test &amp; continuity test before commensing installation of Distribution Board &amp; Electrical Fittings.</t>
  </si>
  <si>
    <t>Supply and mounted (LED Phase indicator lamps ) Wall/Surface mounted Powder Coated Steel Enclosure with lockable doors ,cover plate &amp; internal wiring c/w bus bars and Accessories.(Rate to include necessary MCCB,MCB,RCCB,and other necessary fixturesand  Other required supportive materials should include )  The contractor shoud take advise an electricle engineer before undataking the work.</t>
  </si>
  <si>
    <t>Supply and mounted LED phase indicator lamps powder coated steel encloser with lockble door, Wall mounted distribution board (3 nr of DB)  &amp; internal wiring c/w bus bars and Accessories.(Rate to include necessary MCCB,MCB,RCCB,and other necessary fixturesand  Other required supportive materials should include )  The contractor shoud take advise an electricle engineer before undataking the work.</t>
  </si>
  <si>
    <t>CELLULAR  AND BLOCK MASONRY</t>
  </si>
  <si>
    <t>D 3.7</t>
  </si>
  <si>
    <t>PANTRY TOP</t>
  </si>
  <si>
    <t>Black Granite Top (Finished)</t>
  </si>
  <si>
    <r>
      <rPr>
        <b/>
        <sz val="12"/>
        <rFont val="Times New Roman"/>
        <family val="1"/>
      </rPr>
      <t xml:space="preserve">Supply &amp; Installation of ceiling fans- Brand - KDK (model need to be finalized with architect)   </t>
    </r>
    <r>
      <rPr>
        <sz val="12"/>
        <rFont val="Times New Roman"/>
        <family val="1"/>
      </rPr>
      <t xml:space="preserve">                                                                                                                                                                                                                                                                      Supply &amp; Installation of ceiling fan (Diameter-56") and speed regulator with roll plugs, screws, metal hooks (Fan hook need to be passed through the slab and properly  connected) and complete with all other relevant accessories. (PC sum is Rs. 26,200.00)</t>
    </r>
  </si>
  <si>
    <t>Waterproofing work (4 coats system)</t>
  </si>
  <si>
    <t>Provision for CCTV Network.</t>
  </si>
  <si>
    <t>Supply and fix Chromium plated bathroom floor gully cover square type  of "Lanka Tiles Coloma " brand or approved equivalent. (Prime cost of the Chromium plated bathroom floor gully cover square type is Rs.
5,000.00)</t>
  </si>
  <si>
    <t>Trip</t>
  </si>
  <si>
    <t>PANTRY CUPBOARD</t>
  </si>
  <si>
    <t>Eco Board Pantry Cupboard - Bottom</t>
  </si>
  <si>
    <t>U shape and I shape Bottom Pantry Cupboards with drawers/ rotating shelves  (18mm Eco board with structure)
With 25 Years Warranty</t>
  </si>
  <si>
    <t>Supply and Fixing Electric Hood and 4 Burner Stove.</t>
  </si>
  <si>
    <t>Supply and fix stainless steel (Mat Black) 36"x 18" 0.6mm thick kitchen sink with double  bowl of "Seal core" by mascons or approved equivalent with 5 year written warranty from the authorized agent. including Pullout tap and water connection with flexible hose, all complete to working order. (Swan neck tap paid separately.)(Prime cost  is Rs. 34,000.00)</t>
  </si>
  <si>
    <t>S 16</t>
  </si>
  <si>
    <t>ST 1</t>
  </si>
  <si>
    <t>ST 2</t>
  </si>
  <si>
    <t>MAIN  SUMMARY</t>
  </si>
  <si>
    <t>SUB TOTAL - 01</t>
  </si>
  <si>
    <t>00% contingency</t>
  </si>
  <si>
    <t xml:space="preserve"> SUB TOTAL</t>
  </si>
  <si>
    <t>TOTAL ( Excluding VAT ) carried to Form of Bid</t>
  </si>
  <si>
    <t xml:space="preserve">                                                                                                    Date ………………………………………</t>
  </si>
  <si>
    <t>PR.1</t>
  </si>
  <si>
    <t>PR.2</t>
  </si>
  <si>
    <t>PR.3</t>
  </si>
  <si>
    <t>PR.4</t>
  </si>
  <si>
    <t>PR.5</t>
  </si>
  <si>
    <t>PR.5.1</t>
  </si>
  <si>
    <t>PR.5.2</t>
  </si>
  <si>
    <t>PR.6</t>
  </si>
  <si>
    <t>PR.6.1</t>
  </si>
  <si>
    <t>PR.6.2</t>
  </si>
  <si>
    <t>PRELIMINARIES CARRIED TO GRAND SUMMARY</t>
  </si>
  <si>
    <t>U - METAL WORK</t>
  </si>
  <si>
    <t>U.1</t>
  </si>
  <si>
    <t>U.1.1</t>
  </si>
  <si>
    <t>U.2</t>
  </si>
  <si>
    <t>U.2.1</t>
  </si>
  <si>
    <t>U.2.2</t>
  </si>
  <si>
    <t>U.2.3</t>
  </si>
  <si>
    <t>U.2.4</t>
  </si>
  <si>
    <r>
      <t xml:space="preserve">Door type </t>
    </r>
    <r>
      <rPr>
        <b/>
        <sz val="11"/>
        <rFont val="Times New Roman"/>
        <family val="1"/>
      </rPr>
      <t>D1</t>
    </r>
    <r>
      <rPr>
        <sz val="11"/>
        <rFont val="Times New Roman"/>
        <family val="1"/>
      </rPr>
      <t xml:space="preserve"> size 1500mm x 2700mm Teak Timber Framed Solid Teak Timber Double door as per the detail drawings with all necessary iron mongaries with smart lock</t>
    </r>
    <r>
      <rPr>
        <sz val="11"/>
        <rFont val="Times New Roman"/>
        <family val="1"/>
        <charset val="1"/>
      </rPr>
      <t xml:space="preserve">. </t>
    </r>
    <r>
      <rPr>
        <b/>
        <sz val="11"/>
        <rFont val="Times New Roman"/>
        <family val="1"/>
      </rPr>
      <t>(Smart Lock PC - 72,000.00 per unit)</t>
    </r>
  </si>
  <si>
    <t>U.2.5</t>
  </si>
  <si>
    <t>U.3</t>
  </si>
  <si>
    <t xml:space="preserve">Doors </t>
  </si>
  <si>
    <t>U.3.1</t>
  </si>
  <si>
    <t>U.3.2</t>
  </si>
  <si>
    <t>U.3.3</t>
  </si>
  <si>
    <t>U.3.4</t>
  </si>
  <si>
    <t>U.3.5</t>
  </si>
  <si>
    <t>U.3.6</t>
  </si>
  <si>
    <t>U.3.7</t>
  </si>
  <si>
    <t>U.3.8</t>
  </si>
  <si>
    <t>U.3.9</t>
  </si>
  <si>
    <t>U.3.10</t>
  </si>
  <si>
    <t>HANDRAIL / DOORS AND WINDOWS</t>
  </si>
  <si>
    <t>CONCRETE / FORM WORK AND REINFORCEMENT</t>
  </si>
  <si>
    <t>R - WATER PROOFING WORK</t>
  </si>
  <si>
    <t>R.1</t>
  </si>
  <si>
    <t>R.1.1</t>
  </si>
  <si>
    <t>R.1.2</t>
  </si>
  <si>
    <t>E.1.3</t>
  </si>
  <si>
    <t>E.1.4</t>
  </si>
  <si>
    <t>R.2</t>
  </si>
  <si>
    <t>R.2.1</t>
  </si>
  <si>
    <t>R.2.2</t>
  </si>
  <si>
    <t>R.2.3</t>
  </si>
  <si>
    <t>R.2.4</t>
  </si>
  <si>
    <t xml:space="preserve">WITH ANGLE FILLET
</t>
  </si>
  <si>
    <t>Q.1</t>
  </si>
  <si>
    <t>Q.1.1</t>
  </si>
  <si>
    <t>Q.1.2</t>
  </si>
  <si>
    <t>Q.2</t>
  </si>
  <si>
    <t>Q.3</t>
  </si>
  <si>
    <t>Q.2.1</t>
  </si>
  <si>
    <t>Q.2.2</t>
  </si>
  <si>
    <t>Q.3.1</t>
  </si>
  <si>
    <t>Q.3.2</t>
  </si>
  <si>
    <t>Q.4</t>
  </si>
  <si>
    <t>Q.4.1</t>
  </si>
  <si>
    <t>Q.5</t>
  </si>
  <si>
    <t>Q.5.1</t>
  </si>
  <si>
    <t>Q.5.2</t>
  </si>
  <si>
    <t>Q.6</t>
  </si>
  <si>
    <t>Q.7</t>
  </si>
  <si>
    <t>Q.7.1</t>
  </si>
  <si>
    <t>Q.7.2</t>
  </si>
  <si>
    <t>Q.8</t>
  </si>
  <si>
    <t>Q.9</t>
  </si>
  <si>
    <t>Q.10</t>
  </si>
  <si>
    <t>Q.11</t>
  </si>
  <si>
    <t>Q.12</t>
  </si>
  <si>
    <t>Q.13</t>
  </si>
  <si>
    <t>Q.14</t>
  </si>
  <si>
    <t>Q.15</t>
  </si>
  <si>
    <t>Q.16</t>
  </si>
  <si>
    <t>Q.17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</si>
</sst>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 #,##0.00_);_(* \(#,##0.00\);_(* &quot;-&quot;??_);_(@_)"/>
    <numFmt numFmtId="165" formatCode="0.0"/>
    <numFmt numFmtId="166" formatCode="_(* #,##0.000_);_(* \(#,##0.000\);_(* &quot;-&quot;??_);_(@_)"/>
    <numFmt numFmtId="167" formatCode="_(* #,##0.0_);_(* \(#,##0.0\);_(* &quot;-&quot;??_);_(@_)"/>
    <numFmt numFmtId="168" formatCode="0.000%"/>
    <numFmt numFmtId="169" formatCode="#,##0.00000000"/>
    <numFmt numFmtId="170" formatCode="#,##0.0;[Red]#,##0.0"/>
    <numFmt numFmtId="171" formatCode="0.00_)"/>
    <numFmt numFmtId="172" formatCode="_-* #,##0.00_-;\-* #,##0.00_-;_-* &quot;-&quot;??_-;_-@"/>
    <numFmt numFmtId="173" formatCode="#,##0.0"/>
  </numFmts>
  <fonts count="86" x14ac:knownFonts="1">
    <font>
      <sz val="10"/>
      <name val="Arial"/>
    </font>
    <font>
      <sz val="11"/>
      <color theme="1"/>
      <name val="Calibri"/>
      <family val="2"/>
      <charset val="1"/>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u/>
      <sz val="12"/>
      <name val="Calibri"/>
      <family val="2"/>
      <scheme val="minor"/>
    </font>
    <font>
      <sz val="10"/>
      <name val="Calibri"/>
      <family val="2"/>
      <scheme val="minor"/>
    </font>
    <font>
      <sz val="10"/>
      <name val="Arial"/>
      <family val="2"/>
    </font>
    <font>
      <sz val="10"/>
      <name val="Times New Roman"/>
      <family val="1"/>
    </font>
    <font>
      <sz val="10"/>
      <name val="Arial"/>
      <family val="2"/>
    </font>
    <font>
      <sz val="11"/>
      <name val="Times New Roman"/>
      <family val="1"/>
    </font>
    <font>
      <b/>
      <sz val="11"/>
      <name val="Times New Roman"/>
      <family val="1"/>
    </font>
    <font>
      <sz val="11"/>
      <color indexed="10"/>
      <name val="Times New Roman"/>
      <family val="1"/>
    </font>
    <font>
      <b/>
      <u/>
      <sz val="12"/>
      <name val="Times New Roman"/>
      <family val="1"/>
    </font>
    <font>
      <b/>
      <u/>
      <sz val="11"/>
      <name val="Times New Roman"/>
      <family val="1"/>
    </font>
    <font>
      <b/>
      <vertAlign val="superscript"/>
      <sz val="11"/>
      <name val="Times New Roman"/>
      <family val="1"/>
    </font>
    <font>
      <vertAlign val="superscript"/>
      <sz val="11"/>
      <name val="Times New Roman"/>
      <family val="1"/>
    </font>
    <font>
      <b/>
      <sz val="11"/>
      <color indexed="10"/>
      <name val="Times New Roman"/>
      <family val="1"/>
    </font>
    <font>
      <b/>
      <sz val="10"/>
      <name val="Times New Roman"/>
      <family val="1"/>
    </font>
    <font>
      <b/>
      <u/>
      <sz val="10"/>
      <name val="Times New Roman"/>
      <family val="1"/>
    </font>
    <font>
      <sz val="11"/>
      <color theme="1"/>
      <name val="Times New Roman"/>
      <family val="1"/>
    </font>
    <font>
      <b/>
      <sz val="11"/>
      <color theme="1"/>
      <name val="Times New Roman"/>
      <family val="1"/>
    </font>
    <font>
      <sz val="9"/>
      <name val="Times New Roman"/>
      <family val="1"/>
    </font>
    <font>
      <b/>
      <sz val="10"/>
      <color rgb="FFFF0000"/>
      <name val="Times New Roman"/>
      <family val="1"/>
    </font>
    <font>
      <b/>
      <sz val="10"/>
      <color rgb="FFFF0000"/>
      <name val="Arial"/>
      <family val="2"/>
    </font>
    <font>
      <b/>
      <sz val="10"/>
      <name val="Arial"/>
      <family val="2"/>
    </font>
    <font>
      <b/>
      <sz val="12"/>
      <name val="Times New Roman"/>
      <family val="1"/>
    </font>
    <font>
      <sz val="12"/>
      <name val="Times New Roman"/>
      <family val="1"/>
    </font>
    <font>
      <sz val="10"/>
      <color theme="1"/>
      <name val="Arial"/>
      <family val="2"/>
    </font>
    <font>
      <b/>
      <sz val="10"/>
      <color theme="1"/>
      <name val="Arial"/>
      <family val="2"/>
    </font>
    <font>
      <sz val="10"/>
      <name val="Courier"/>
      <family val="3"/>
    </font>
    <font>
      <sz val="8"/>
      <name val="Arial"/>
      <family val="2"/>
    </font>
    <font>
      <b/>
      <i/>
      <sz val="10"/>
      <name val="Times New Roman"/>
      <family val="1"/>
    </font>
    <font>
      <i/>
      <sz val="10"/>
      <name val="Times New Roman"/>
      <family val="1"/>
    </font>
    <font>
      <u/>
      <sz val="10"/>
      <color theme="1"/>
      <name val="Times New Roman"/>
      <family val="1"/>
    </font>
    <font>
      <sz val="10"/>
      <color theme="1"/>
      <name val="Times New Roman"/>
      <family val="1"/>
    </font>
    <font>
      <b/>
      <u/>
      <sz val="10"/>
      <color theme="1"/>
      <name val="Times New Roman"/>
      <family val="1"/>
    </font>
    <font>
      <b/>
      <sz val="10"/>
      <color theme="1"/>
      <name val="Times New Roman"/>
      <family val="1"/>
    </font>
    <font>
      <sz val="10"/>
      <name val="Arial"/>
      <family val="2"/>
    </font>
    <font>
      <b/>
      <sz val="16"/>
      <name val="Times New Roman"/>
      <family val="1"/>
    </font>
    <font>
      <sz val="14"/>
      <name val="Times New Roman"/>
      <family val="1"/>
    </font>
    <font>
      <sz val="14"/>
      <color indexed="12"/>
      <name val="Times New Roman"/>
      <family val="1"/>
    </font>
    <font>
      <b/>
      <sz val="14"/>
      <name val="Times New Roman"/>
      <family val="1"/>
    </font>
    <font>
      <b/>
      <sz val="22"/>
      <name val="Times New Roman"/>
      <family val="1"/>
    </font>
    <font>
      <sz val="10"/>
      <color indexed="8"/>
      <name val="Arial"/>
      <family val="2"/>
    </font>
    <font>
      <sz val="11"/>
      <color rgb="FFFF0000"/>
      <name val="Times New Roman"/>
      <family val="1"/>
    </font>
    <font>
      <sz val="11"/>
      <name val="Arial"/>
      <family val="2"/>
    </font>
    <font>
      <u/>
      <sz val="12"/>
      <name val="Times New Roman"/>
      <family val="1"/>
    </font>
    <font>
      <sz val="11"/>
      <color rgb="FFFF0000"/>
      <name val="Arial"/>
      <family val="2"/>
    </font>
    <font>
      <sz val="11"/>
      <color rgb="FF0070C0"/>
      <name val="Times New Roman"/>
      <family val="1"/>
    </font>
    <font>
      <b/>
      <sz val="11"/>
      <color rgb="FFFF0000"/>
      <name val="Times New Roman"/>
      <family val="1"/>
    </font>
    <font>
      <sz val="8"/>
      <name val="Times New Roman"/>
      <family val="1"/>
    </font>
    <font>
      <sz val="6"/>
      <name val="Arial"/>
      <family val="2"/>
    </font>
    <font>
      <sz val="10"/>
      <color rgb="FFFF0000"/>
      <name val="Arial"/>
      <family val="2"/>
    </font>
    <font>
      <sz val="6"/>
      <color rgb="FFFF0000"/>
      <name val="Arial"/>
      <family val="2"/>
    </font>
    <font>
      <sz val="11"/>
      <color rgb="FF009900"/>
      <name val="Times New Roman"/>
      <family val="1"/>
    </font>
    <font>
      <u/>
      <sz val="11"/>
      <name val="Times New Roman"/>
      <family val="1"/>
    </font>
    <font>
      <b/>
      <u/>
      <sz val="11"/>
      <color theme="1"/>
      <name val="Times New Roman"/>
      <family val="1"/>
    </font>
    <font>
      <sz val="9"/>
      <color indexed="81"/>
      <name val="Tahoma"/>
      <family val="2"/>
    </font>
    <font>
      <b/>
      <sz val="9"/>
      <color indexed="81"/>
      <name val="Tahoma"/>
      <family val="2"/>
    </font>
    <font>
      <b/>
      <sz val="11"/>
      <name val="Arial"/>
      <family val="2"/>
    </font>
    <font>
      <sz val="11"/>
      <color theme="1"/>
      <name val="Arial Narrow"/>
      <family val="2"/>
    </font>
    <font>
      <b/>
      <u/>
      <sz val="11"/>
      <color theme="1"/>
      <name val="Arial Narrow"/>
      <family val="2"/>
    </font>
    <font>
      <sz val="11"/>
      <name val="Calibri"/>
      <family val="2"/>
    </font>
    <font>
      <b/>
      <sz val="11"/>
      <color theme="1"/>
      <name val="Arial Narrow"/>
      <family val="2"/>
    </font>
    <font>
      <u val="singleAccounting"/>
      <sz val="11"/>
      <color theme="1"/>
      <name val="Arial Narrow"/>
      <family val="2"/>
    </font>
    <font>
      <vertAlign val="superscript"/>
      <sz val="11"/>
      <color theme="1"/>
      <name val="Arial Narrow"/>
      <family val="2"/>
    </font>
    <font>
      <b/>
      <u/>
      <sz val="10"/>
      <name val="Arial"/>
      <family val="2"/>
    </font>
    <font>
      <b/>
      <vertAlign val="superscript"/>
      <sz val="11"/>
      <color theme="1"/>
      <name val="Arial Narrow"/>
      <family val="2"/>
    </font>
    <font>
      <b/>
      <sz val="11"/>
      <color theme="1"/>
      <name val="Calibri"/>
      <family val="2"/>
      <scheme val="minor"/>
    </font>
    <font>
      <b/>
      <i/>
      <sz val="12"/>
      <color rgb="FFFF0000"/>
      <name val="Times New Roman"/>
      <family val="1"/>
    </font>
    <font>
      <b/>
      <sz val="11"/>
      <name val="Times New Roman"/>
      <family val="1"/>
      <charset val="1"/>
    </font>
    <font>
      <b/>
      <sz val="10"/>
      <name val="Times New Roman"/>
      <family val="1"/>
      <charset val="1"/>
    </font>
    <font>
      <sz val="11"/>
      <name val="Times New Roman"/>
      <family val="1"/>
      <charset val="1"/>
    </font>
    <font>
      <b/>
      <u/>
      <sz val="11"/>
      <name val="Times New Roman"/>
      <family val="1"/>
      <charset val="1"/>
    </font>
    <font>
      <sz val="11"/>
      <name val="Arial"/>
      <family val="2"/>
      <charset val="1"/>
    </font>
    <font>
      <b/>
      <sz val="12"/>
      <color theme="1"/>
      <name val="Times New Roman"/>
      <family val="1"/>
    </font>
    <font>
      <sz val="12"/>
      <color theme="1"/>
      <name val="Times New Roman"/>
      <family val="1"/>
    </font>
    <font>
      <b/>
      <sz val="14"/>
      <color theme="0"/>
      <name val="Times New Roman"/>
      <family val="1"/>
    </font>
    <font>
      <sz val="12"/>
      <color theme="0"/>
      <name val="Times New Roman"/>
      <family val="1"/>
    </font>
    <font>
      <b/>
      <sz val="18"/>
      <color theme="0"/>
      <name val="Times New Roman"/>
      <family val="1"/>
    </font>
  </fonts>
  <fills count="20">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FF0000"/>
        <bgColor indexed="64"/>
      </patternFill>
    </fill>
    <fill>
      <patternFill patternType="solid">
        <fgColor rgb="FFE2EFD9"/>
        <bgColor rgb="FFE2EFD9"/>
      </patternFill>
    </fill>
    <fill>
      <patternFill patternType="solid">
        <fgColor theme="5"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rgb="FFFFC000"/>
        <bgColor indexed="64"/>
      </patternFill>
    </fill>
    <fill>
      <patternFill patternType="solid">
        <fgColor theme="7" tint="0.59999389629810485"/>
        <bgColor indexed="64"/>
      </patternFill>
    </fill>
    <fill>
      <patternFill patternType="solid">
        <fgColor theme="2" tint="-9.9978637043366805E-2"/>
        <bgColor indexed="64"/>
      </patternFill>
    </fill>
    <fill>
      <patternFill patternType="solid">
        <fgColor theme="8" tint="-0.249977111117893"/>
        <bgColor indexed="64"/>
      </patternFill>
    </fill>
    <fill>
      <patternFill patternType="solid">
        <fgColor theme="0" tint="-0.249977111117893"/>
        <bgColor indexed="64"/>
      </patternFill>
    </fill>
    <fill>
      <patternFill patternType="solid">
        <fgColor theme="9" tint="-0.249977111117893"/>
        <bgColor indexed="64"/>
      </patternFill>
    </fill>
  </fills>
  <borders count="13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thin">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style="thin">
        <color indexed="64"/>
      </right>
      <top style="thin">
        <color indexed="64"/>
      </top>
      <bottom style="double">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medium">
        <color indexed="64"/>
      </left>
      <right style="medium">
        <color indexed="64"/>
      </right>
      <top style="hair">
        <color indexed="64"/>
      </top>
      <bottom style="hair">
        <color indexed="64"/>
      </bottom>
      <diagonal/>
    </border>
    <border>
      <left style="medium">
        <color indexed="64"/>
      </left>
      <right/>
      <top style="hair">
        <color indexed="64"/>
      </top>
      <bottom style="hair">
        <color indexed="64"/>
      </bottom>
      <diagonal/>
    </border>
    <border>
      <left style="medium">
        <color indexed="64"/>
      </left>
      <right style="medium">
        <color indexed="64"/>
      </right>
      <top style="hair">
        <color indexed="64"/>
      </top>
      <bottom/>
      <diagonal/>
    </border>
    <border>
      <left style="medium">
        <color indexed="64"/>
      </left>
      <right/>
      <top style="hair">
        <color indexed="64"/>
      </top>
      <bottom/>
      <diagonal/>
    </border>
    <border>
      <left style="medium">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thin">
        <color indexed="64"/>
      </left>
      <right style="thin">
        <color indexed="64"/>
      </right>
      <top/>
      <bottom style="hair">
        <color indexed="64"/>
      </bottom>
      <diagonal/>
    </border>
    <border>
      <left/>
      <right style="medium">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style="thin">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medium">
        <color indexed="64"/>
      </left>
      <right style="thin">
        <color indexed="64"/>
      </right>
      <top style="hair">
        <color indexed="64"/>
      </top>
      <bottom style="thin">
        <color indexed="64"/>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auto="1"/>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hair">
        <color indexed="64"/>
      </bottom>
      <diagonal/>
    </border>
    <border>
      <left style="thin">
        <color indexed="64"/>
      </left>
      <right style="thin">
        <color indexed="64"/>
      </right>
      <top style="hair">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diagonal/>
    </border>
    <border>
      <left style="thin">
        <color indexed="64"/>
      </left>
      <right style="medium">
        <color indexed="64"/>
      </right>
      <top style="hair">
        <color indexed="64"/>
      </top>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bottom style="medium">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thin">
        <color rgb="FF000000"/>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thin">
        <color rgb="FF000000"/>
      </left>
      <right style="thin">
        <color rgb="FF000000"/>
      </right>
      <top style="thin">
        <color auto="1"/>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indexed="64"/>
      </right>
      <top/>
      <bottom/>
      <diagonal/>
    </border>
    <border>
      <left style="medium">
        <color indexed="64"/>
      </left>
      <right style="medium">
        <color indexed="64"/>
      </right>
      <top/>
      <bottom style="thin">
        <color indexed="64"/>
      </bottom>
      <diagonal/>
    </border>
    <border>
      <left style="medium">
        <color auto="1"/>
      </left>
      <right style="thin">
        <color indexed="64"/>
      </right>
      <top/>
      <bottom style="thin">
        <color auto="1"/>
      </bottom>
      <diagonal/>
    </border>
    <border>
      <left style="thin">
        <color auto="1"/>
      </left>
      <right style="thin">
        <color auto="1"/>
      </right>
      <top style="thin">
        <color auto="1"/>
      </top>
      <bottom style="hair">
        <color auto="1"/>
      </bottom>
      <diagonal/>
    </border>
    <border>
      <left style="thin">
        <color indexed="64"/>
      </left>
      <right/>
      <top style="medium">
        <color indexed="64"/>
      </top>
      <bottom/>
      <diagonal/>
    </border>
    <border>
      <left style="thin">
        <color indexed="64"/>
      </left>
      <right style="medium">
        <color indexed="64"/>
      </right>
      <top style="thin">
        <color theme="0" tint="-0.14996795556505021"/>
      </top>
      <bottom style="thin">
        <color theme="0" tint="-0.14996795556505021"/>
      </bottom>
      <diagonal/>
    </border>
    <border>
      <left style="thin">
        <color indexed="64"/>
      </left>
      <right style="thin">
        <color indexed="64"/>
      </right>
      <top style="thin">
        <color theme="0" tint="-0.14996795556505021"/>
      </top>
      <bottom style="thin">
        <color theme="0" tint="-0.14996795556505021"/>
      </bottom>
      <diagonal/>
    </border>
    <border>
      <left style="medium">
        <color indexed="64"/>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style="thin">
        <color theme="0" tint="-0.24994659260841701"/>
      </top>
      <bottom style="thin">
        <color theme="0" tint="-0.24994659260841701"/>
      </bottom>
      <diagonal/>
    </border>
    <border>
      <left style="thin">
        <color indexed="64"/>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top style="thin">
        <color indexed="64"/>
      </top>
      <bottom style="medium">
        <color indexed="64"/>
      </bottom>
      <diagonal/>
    </border>
    <border>
      <left style="medium">
        <color indexed="64"/>
      </left>
      <right style="thin">
        <color indexed="64"/>
      </right>
      <top style="thin">
        <color theme="0" tint="-0.24994659260841701"/>
      </top>
      <bottom style="thin">
        <color theme="0" tint="-0.24994659260841701"/>
      </bottom>
      <diagonal/>
    </border>
    <border>
      <left style="thin">
        <color indexed="64"/>
      </left>
      <right style="thin">
        <color indexed="64"/>
      </right>
      <top/>
      <bottom style="thin">
        <color theme="0" tint="-0.24994659260841701"/>
      </bottom>
      <diagonal/>
    </border>
    <border>
      <left style="thin">
        <color indexed="64"/>
      </left>
      <right/>
      <top/>
      <bottom style="thin">
        <color theme="0" tint="-0.24994659260841701"/>
      </bottom>
      <diagonal/>
    </border>
    <border>
      <left style="thin">
        <color indexed="64"/>
      </left>
      <right style="medium">
        <color indexed="64"/>
      </right>
      <top/>
      <bottom style="thin">
        <color theme="0" tint="-0.24994659260841701"/>
      </bottom>
      <diagonal/>
    </border>
    <border>
      <left style="thin">
        <color indexed="64"/>
      </left>
      <right/>
      <top style="thin">
        <color theme="0" tint="-0.24994659260841701"/>
      </top>
      <bottom style="medium">
        <color indexed="64"/>
      </bottom>
      <diagonal/>
    </border>
    <border>
      <left style="thin">
        <color indexed="64"/>
      </left>
      <right style="medium">
        <color indexed="64"/>
      </right>
      <top style="thin">
        <color theme="0" tint="-0.24994659260841701"/>
      </top>
      <bottom style="medium">
        <color indexed="64"/>
      </bottom>
      <diagonal/>
    </border>
    <border>
      <left style="thin">
        <color indexed="64"/>
      </left>
      <right/>
      <top style="medium">
        <color indexed="64"/>
      </top>
      <bottom style="thin">
        <color theme="0" tint="-0.24994659260841701"/>
      </bottom>
      <diagonal/>
    </border>
    <border>
      <left style="thin">
        <color indexed="64"/>
      </left>
      <right style="medium">
        <color indexed="64"/>
      </right>
      <top style="medium">
        <color indexed="64"/>
      </top>
      <bottom style="thin">
        <color theme="0" tint="-0.24994659260841701"/>
      </bottom>
      <diagonal/>
    </border>
    <border>
      <left style="thin">
        <color indexed="64"/>
      </left>
      <right style="thin">
        <color indexed="64"/>
      </right>
      <top style="thin">
        <color theme="0" tint="-0.24994659260841701"/>
      </top>
      <bottom style="medium">
        <color indexed="64"/>
      </bottom>
      <diagonal/>
    </border>
    <border>
      <left style="thin">
        <color indexed="64"/>
      </left>
      <right style="thin">
        <color indexed="64"/>
      </right>
      <top style="thin">
        <color theme="0" tint="-0.14996795556505021"/>
      </top>
      <bottom/>
      <diagonal/>
    </border>
    <border>
      <left style="thin">
        <color indexed="64"/>
      </left>
      <right style="medium">
        <color indexed="64"/>
      </right>
      <top style="thin">
        <color theme="0" tint="-0.14996795556505021"/>
      </top>
      <bottom/>
      <diagonal/>
    </border>
    <border>
      <left style="thin">
        <color indexed="64"/>
      </left>
      <right style="medium">
        <color indexed="64"/>
      </right>
      <top/>
      <bottom style="thin">
        <color theme="0" tint="-0.14996795556505021"/>
      </bottom>
      <diagonal/>
    </border>
    <border>
      <left style="medium">
        <color indexed="64"/>
      </left>
      <right style="thin">
        <color indexed="64"/>
      </right>
      <top/>
      <bottom style="thin">
        <color theme="0" tint="-0.24994659260841701"/>
      </bottom>
      <diagonal/>
    </border>
    <border>
      <left style="thin">
        <color indexed="64"/>
      </left>
      <right/>
      <top style="thin">
        <color theme="0" tint="-0.24994659260841701"/>
      </top>
      <bottom/>
      <diagonal/>
    </border>
    <border>
      <left style="thin">
        <color indexed="64"/>
      </left>
      <right style="medium">
        <color indexed="64"/>
      </right>
      <top style="thin">
        <color theme="0" tint="-0.24994659260841701"/>
      </top>
      <bottom/>
      <diagonal/>
    </border>
    <border>
      <left style="thin">
        <color indexed="64"/>
      </left>
      <right style="thin">
        <color indexed="64"/>
      </right>
      <top style="thin">
        <color theme="0" tint="-0.24994659260841701"/>
      </top>
      <bottom/>
      <diagonal/>
    </border>
    <border>
      <left/>
      <right/>
      <top/>
      <bottom style="double">
        <color indexed="64"/>
      </bottom>
      <diagonal/>
    </border>
  </borders>
  <cellStyleXfs count="45">
    <xf numFmtId="0" fontId="0" fillId="0" borderId="0"/>
    <xf numFmtId="164" fontId="9" fillId="0" borderId="0" applyFont="0" applyFill="0" applyBorder="0" applyAlignment="0" applyProtection="0"/>
    <xf numFmtId="164" fontId="12" fillId="0" borderId="0" applyFont="0" applyFill="0" applyBorder="0" applyAlignment="0" applyProtection="0"/>
    <xf numFmtId="164" fontId="12" fillId="0" borderId="0" applyFont="0" applyFill="0" applyBorder="0" applyAlignment="0" applyProtection="0"/>
    <xf numFmtId="0" fontId="9" fillId="0" borderId="0"/>
    <xf numFmtId="164" fontId="12" fillId="0" borderId="0" applyFont="0" applyFill="0" applyBorder="0" applyAlignment="0" applyProtection="0"/>
    <xf numFmtId="0" fontId="12" fillId="0" borderId="0"/>
    <xf numFmtId="164" fontId="14" fillId="0" borderId="0" applyFont="0" applyFill="0" applyBorder="0" applyAlignment="0" applyProtection="0"/>
    <xf numFmtId="9" fontId="14" fillId="0" borderId="0" applyFont="0" applyFill="0" applyBorder="0" applyAlignment="0" applyProtection="0"/>
    <xf numFmtId="0" fontId="8" fillId="0" borderId="0"/>
    <xf numFmtId="9" fontId="8" fillId="0" borderId="0" applyFont="0" applyFill="0" applyBorder="0" applyAlignment="0" applyProtection="0"/>
    <xf numFmtId="164" fontId="8" fillId="0" borderId="0" applyFont="0" applyFill="0" applyBorder="0" applyAlignment="0" applyProtection="0"/>
    <xf numFmtId="0" fontId="12" fillId="0" borderId="0"/>
    <xf numFmtId="0" fontId="35" fillId="0" borderId="0"/>
    <xf numFmtId="0" fontId="12" fillId="0" borderId="0"/>
    <xf numFmtId="0" fontId="12" fillId="0" borderId="0"/>
    <xf numFmtId="164" fontId="7" fillId="0" borderId="0" applyFont="0" applyFill="0" applyBorder="0" applyAlignment="0" applyProtection="0"/>
    <xf numFmtId="0" fontId="7" fillId="0" borderId="0"/>
    <xf numFmtId="0" fontId="32" fillId="0" borderId="0"/>
    <xf numFmtId="0" fontId="6" fillId="0" borderId="0"/>
    <xf numFmtId="164" fontId="6" fillId="0" borderId="0" applyFont="0" applyFill="0" applyBorder="0" applyAlignment="0" applyProtection="0"/>
    <xf numFmtId="9" fontId="43" fillId="0" borderId="0" applyFont="0" applyFill="0" applyBorder="0" applyAlignment="0" applyProtection="0"/>
    <xf numFmtId="0" fontId="5" fillId="0" borderId="0"/>
    <xf numFmtId="43" fontId="5" fillId="0" borderId="0" applyFont="0" applyFill="0" applyBorder="0" applyAlignment="0" applyProtection="0"/>
    <xf numFmtId="4" fontId="12" fillId="0" borderId="0"/>
    <xf numFmtId="164" fontId="12" fillId="0" borderId="0" applyFont="0" applyFill="0" applyBorder="0" applyAlignment="0" applyProtection="0"/>
    <xf numFmtId="0" fontId="4" fillId="0" borderId="0"/>
    <xf numFmtId="164" fontId="4" fillId="0" borderId="0" applyFont="0" applyFill="0" applyBorder="0" applyAlignment="0" applyProtection="0"/>
    <xf numFmtId="0" fontId="12" fillId="0" borderId="0"/>
    <xf numFmtId="164" fontId="3" fillId="0" borderId="0" applyFont="0" applyFill="0" applyBorder="0" applyAlignment="0" applyProtection="0"/>
    <xf numFmtId="0" fontId="32" fillId="0" borderId="0"/>
    <xf numFmtId="0" fontId="32" fillId="0" borderId="0" applyFont="0" applyFill="0" applyBorder="0" applyAlignment="0" applyProtection="0"/>
    <xf numFmtId="0" fontId="12" fillId="0" borderId="0"/>
    <xf numFmtId="164" fontId="12" fillId="0" borderId="0" applyFont="0" applyFill="0" applyBorder="0" applyAlignment="0" applyProtection="0"/>
    <xf numFmtId="0" fontId="2" fillId="0" borderId="0"/>
    <xf numFmtId="0" fontId="12" fillId="0" borderId="0"/>
    <xf numFmtId="171" fontId="35" fillId="0" borderId="0"/>
    <xf numFmtId="0" fontId="2" fillId="0" borderId="0"/>
    <xf numFmtId="164" fontId="2" fillId="0" borderId="0" applyFont="0" applyFill="0" applyBorder="0" applyAlignment="0" applyProtection="0"/>
    <xf numFmtId="0" fontId="1" fillId="0" borderId="0"/>
    <xf numFmtId="0" fontId="12" fillId="0" borderId="0"/>
    <xf numFmtId="43" fontId="2" fillId="0" borderId="0" applyFont="0" applyFill="0" applyBorder="0" applyAlignment="0" applyProtection="0"/>
    <xf numFmtId="0" fontId="2" fillId="0" borderId="0"/>
    <xf numFmtId="164" fontId="2" fillId="0" borderId="0" applyFont="0" applyFill="0" applyBorder="0" applyAlignment="0" applyProtection="0"/>
    <xf numFmtId="9" fontId="12" fillId="0" borderId="0" applyFont="0" applyFill="0" applyBorder="0" applyAlignment="0" applyProtection="0"/>
  </cellStyleXfs>
  <cellXfs count="2848">
    <xf numFmtId="0" fontId="0" fillId="0" borderId="0" xfId="0"/>
    <xf numFmtId="0" fontId="11" fillId="0" borderId="12" xfId="0" applyFont="1" applyBorder="1" applyAlignment="1">
      <alignment horizontal="justify" vertical="justify"/>
    </xf>
    <xf numFmtId="39" fontId="11" fillId="0" borderId="12" xfId="2" applyNumberFormat="1" applyFont="1" applyFill="1" applyBorder="1" applyAlignment="1"/>
    <xf numFmtId="0" fontId="10" fillId="0" borderId="22" xfId="0" applyFont="1" applyBorder="1" applyAlignment="1">
      <alignment horizontal="justify" vertical="justify"/>
    </xf>
    <xf numFmtId="164" fontId="11" fillId="0" borderId="12" xfId="2" applyFont="1" applyFill="1" applyBorder="1" applyAlignment="1"/>
    <xf numFmtId="0" fontId="11" fillId="0" borderId="12" xfId="0" applyFont="1" applyFill="1" applyBorder="1" applyAlignment="1">
      <alignment horizontal="justify" vertical="top"/>
    </xf>
    <xf numFmtId="2" fontId="13" fillId="0" borderId="0" xfId="0" applyNumberFormat="1" applyFont="1" applyFill="1" applyBorder="1"/>
    <xf numFmtId="2" fontId="13" fillId="0" borderId="0" xfId="0" applyNumberFormat="1" applyFont="1" applyFill="1" applyBorder="1" applyAlignment="1">
      <alignment horizontal="center" wrapText="1"/>
    </xf>
    <xf numFmtId="0" fontId="11" fillId="0" borderId="0" xfId="0" applyFont="1" applyFill="1" applyBorder="1" applyAlignment="1">
      <alignment horizontal="justify" vertical="top"/>
    </xf>
    <xf numFmtId="0" fontId="13" fillId="0" borderId="11" xfId="0" applyFont="1" applyFill="1" applyBorder="1" applyAlignment="1">
      <alignment horizontal="center" vertical="top"/>
    </xf>
    <xf numFmtId="164" fontId="13" fillId="0" borderId="13" xfId="5" applyFont="1" applyFill="1" applyBorder="1" applyAlignment="1"/>
    <xf numFmtId="164" fontId="13" fillId="0" borderId="15" xfId="5" applyFont="1" applyFill="1" applyBorder="1" applyAlignment="1">
      <alignment horizontal="right"/>
    </xf>
    <xf numFmtId="4" fontId="15" fillId="0" borderId="0" xfId="0" applyNumberFormat="1" applyFont="1" applyBorder="1" applyAlignment="1">
      <alignment vertical="center"/>
    </xf>
    <xf numFmtId="4" fontId="15" fillId="0" borderId="47" xfId="0" applyNumberFormat="1" applyFont="1" applyBorder="1" applyAlignment="1">
      <alignment horizontal="center" vertical="center"/>
    </xf>
    <xf numFmtId="4" fontId="15" fillId="0" borderId="47" xfId="0" applyNumberFormat="1" applyFont="1" applyFill="1" applyBorder="1" applyAlignment="1">
      <alignment horizontal="center" vertical="top"/>
    </xf>
    <xf numFmtId="4" fontId="15" fillId="0" borderId="49" xfId="0" applyNumberFormat="1" applyFont="1" applyBorder="1" applyAlignment="1">
      <alignment horizontal="center" vertical="center"/>
    </xf>
    <xf numFmtId="4" fontId="18" fillId="0" borderId="49" xfId="0" applyNumberFormat="1" applyFont="1" applyFill="1" applyBorder="1" applyAlignment="1">
      <alignment horizontal="justify" vertical="center"/>
    </xf>
    <xf numFmtId="4" fontId="18" fillId="0" borderId="49" xfId="0" applyNumberFormat="1" applyFont="1" applyFill="1" applyBorder="1" applyAlignment="1">
      <alignment horizontal="right" vertical="center"/>
    </xf>
    <xf numFmtId="4" fontId="15" fillId="0" borderId="49" xfId="0" applyNumberFormat="1" applyFont="1" applyFill="1" applyBorder="1" applyAlignment="1">
      <alignment horizontal="center" vertical="top"/>
    </xf>
    <xf numFmtId="4" fontId="19" fillId="0" borderId="49" xfId="0" applyNumberFormat="1" applyFont="1" applyFill="1" applyBorder="1" applyAlignment="1">
      <alignment horizontal="justify" vertical="center" wrapText="1"/>
    </xf>
    <xf numFmtId="4" fontId="19" fillId="0" borderId="49" xfId="0" applyNumberFormat="1" applyFont="1" applyFill="1" applyBorder="1" applyAlignment="1">
      <alignment horizontal="right" vertical="center" wrapText="1"/>
    </xf>
    <xf numFmtId="4" fontId="15" fillId="0" borderId="49" xfId="0" applyNumberFormat="1" applyFont="1" applyBorder="1" applyAlignment="1">
      <alignment horizontal="center" vertical="top"/>
    </xf>
    <xf numFmtId="4" fontId="15" fillId="0" borderId="49" xfId="0" applyNumberFormat="1" applyFont="1" applyFill="1" applyBorder="1" applyAlignment="1">
      <alignment horizontal="justify" vertical="top" wrapText="1"/>
    </xf>
    <xf numFmtId="4" fontId="15" fillId="0" borderId="49" xfId="0" applyNumberFormat="1" applyFont="1" applyFill="1" applyBorder="1" applyAlignment="1">
      <alignment horizontal="right" vertical="top" wrapText="1"/>
    </xf>
    <xf numFmtId="4" fontId="15" fillId="0" borderId="0" xfId="0" applyNumberFormat="1" applyFont="1" applyBorder="1" applyAlignment="1">
      <alignment vertical="top"/>
    </xf>
    <xf numFmtId="4" fontId="16" fillId="0" borderId="49" xfId="0" applyNumberFormat="1" applyFont="1" applyFill="1" applyBorder="1" applyAlignment="1">
      <alignment horizontal="justify" vertical="center" wrapText="1"/>
    </xf>
    <xf numFmtId="4" fontId="16" fillId="0" borderId="49" xfId="0" applyNumberFormat="1" applyFont="1" applyFill="1" applyBorder="1" applyAlignment="1">
      <alignment horizontal="right" vertical="center" wrapText="1"/>
    </xf>
    <xf numFmtId="4" fontId="15" fillId="0" borderId="49" xfId="0" applyNumberFormat="1" applyFont="1" applyFill="1" applyBorder="1" applyAlignment="1">
      <alignment horizontal="justify" vertical="center" wrapText="1"/>
    </xf>
    <xf numFmtId="4" fontId="15" fillId="0" borderId="49" xfId="0" applyNumberFormat="1" applyFont="1" applyFill="1" applyBorder="1" applyAlignment="1">
      <alignment horizontal="right" vertical="center" wrapText="1"/>
    </xf>
    <xf numFmtId="4" fontId="16" fillId="0" borderId="49" xfId="0" applyNumberFormat="1" applyFont="1" applyBorder="1" applyAlignment="1">
      <alignment horizontal="center" vertical="center"/>
    </xf>
    <xf numFmtId="4" fontId="15" fillId="0" borderId="49" xfId="0" applyNumberFormat="1" applyFont="1" applyFill="1" applyBorder="1" applyAlignment="1">
      <alignment horizontal="center" vertical="center"/>
    </xf>
    <xf numFmtId="4" fontId="15" fillId="0" borderId="0" xfId="0" applyNumberFormat="1" applyFont="1" applyFill="1" applyBorder="1" applyAlignment="1">
      <alignment vertical="center"/>
    </xf>
    <xf numFmtId="4" fontId="18" fillId="0" borderId="49" xfId="0" applyNumberFormat="1" applyFont="1" applyFill="1" applyBorder="1" applyAlignment="1">
      <alignment horizontal="justify" vertical="center" wrapText="1"/>
    </xf>
    <xf numFmtId="4" fontId="18" fillId="0" borderId="49" xfId="0" applyNumberFormat="1" applyFont="1" applyFill="1" applyBorder="1" applyAlignment="1">
      <alignment horizontal="right" vertical="center" wrapText="1"/>
    </xf>
    <xf numFmtId="4" fontId="16" fillId="0" borderId="49" xfId="0" applyNumberFormat="1" applyFont="1" applyFill="1" applyBorder="1" applyAlignment="1">
      <alignment horizontal="center" vertical="top"/>
    </xf>
    <xf numFmtId="4" fontId="16" fillId="0" borderId="0" xfId="0" applyNumberFormat="1" applyFont="1" applyBorder="1" applyAlignment="1">
      <alignment vertical="center"/>
    </xf>
    <xf numFmtId="4" fontId="15" fillId="0" borderId="0" xfId="0" applyNumberFormat="1" applyFont="1" applyBorder="1" applyAlignment="1">
      <alignment horizontal="justify" vertical="top"/>
    </xf>
    <xf numFmtId="4" fontId="19" fillId="0" borderId="49" xfId="0" applyNumberFormat="1" applyFont="1" applyFill="1" applyBorder="1" applyAlignment="1">
      <alignment horizontal="justify" vertical="top" wrapText="1"/>
    </xf>
    <xf numFmtId="4" fontId="15" fillId="0" borderId="0" xfId="0" applyNumberFormat="1" applyFont="1" applyBorder="1" applyAlignment="1">
      <alignment horizontal="center" vertical="top"/>
    </xf>
    <xf numFmtId="4" fontId="15" fillId="0" borderId="0" xfId="0" applyNumberFormat="1" applyFont="1" applyBorder="1" applyAlignment="1">
      <alignment horizontal="right" vertical="top"/>
    </xf>
    <xf numFmtId="4" fontId="15" fillId="0" borderId="47" xfId="0" applyNumberFormat="1" applyFont="1" applyFill="1" applyBorder="1" applyAlignment="1">
      <alignment horizontal="right" vertical="top"/>
    </xf>
    <xf numFmtId="4" fontId="15" fillId="0" borderId="49" xfId="0" applyNumberFormat="1" applyFont="1" applyFill="1" applyBorder="1" applyAlignment="1">
      <alignment horizontal="right" vertical="top"/>
    </xf>
    <xf numFmtId="4" fontId="16" fillId="0" borderId="49" xfId="0" applyNumberFormat="1" applyFont="1" applyFill="1" applyBorder="1" applyAlignment="1">
      <alignment horizontal="right" vertical="top"/>
    </xf>
    <xf numFmtId="0" fontId="15" fillId="0" borderId="5" xfId="0" applyFont="1" applyBorder="1" applyAlignment="1">
      <alignment vertical="center" wrapText="1"/>
    </xf>
    <xf numFmtId="164" fontId="11" fillId="0" borderId="0" xfId="2" applyFont="1" applyFill="1" applyBorder="1" applyAlignment="1"/>
    <xf numFmtId="2" fontId="16" fillId="0" borderId="6" xfId="0" applyNumberFormat="1" applyFont="1" applyFill="1" applyBorder="1" applyAlignment="1">
      <alignment horizontal="center"/>
    </xf>
    <xf numFmtId="2" fontId="16" fillId="0" borderId="7" xfId="0" applyNumberFormat="1" applyFont="1" applyFill="1" applyBorder="1" applyAlignment="1">
      <alignment horizontal="center"/>
    </xf>
    <xf numFmtId="2" fontId="16" fillId="0" borderId="8" xfId="0" applyNumberFormat="1" applyFont="1" applyFill="1" applyBorder="1" applyAlignment="1">
      <alignment horizontal="center"/>
    </xf>
    <xf numFmtId="0" fontId="16" fillId="0" borderId="9" xfId="0" applyFont="1" applyFill="1" applyBorder="1" applyAlignment="1">
      <alignment horizontal="center"/>
    </xf>
    <xf numFmtId="164" fontId="16" fillId="0" borderId="10" xfId="2" applyFont="1" applyFill="1" applyBorder="1" applyAlignment="1">
      <alignment horizontal="center"/>
    </xf>
    <xf numFmtId="0" fontId="15" fillId="0" borderId="11" xfId="0" applyFont="1" applyFill="1" applyBorder="1" applyAlignment="1">
      <alignment horizontal="center" vertical="top"/>
    </xf>
    <xf numFmtId="0" fontId="19" fillId="0" borderId="12" xfId="0" applyFont="1" applyFill="1" applyBorder="1" applyAlignment="1">
      <alignment horizontal="left" vertical="top"/>
    </xf>
    <xf numFmtId="2" fontId="15" fillId="0" borderId="13" xfId="0" applyNumberFormat="1" applyFont="1" applyFill="1" applyBorder="1" applyAlignment="1">
      <alignment horizontal="center"/>
    </xf>
    <xf numFmtId="0" fontId="15" fillId="0" borderId="14" xfId="0" applyFont="1" applyFill="1" applyBorder="1" applyAlignment="1">
      <alignment horizontal="center"/>
    </xf>
    <xf numFmtId="0" fontId="15" fillId="0" borderId="15" xfId="0" applyFont="1" applyFill="1" applyBorder="1" applyAlignment="1">
      <alignment horizontal="center"/>
    </xf>
    <xf numFmtId="0" fontId="16" fillId="0" borderId="11" xfId="0" applyFont="1" applyFill="1" applyBorder="1" applyAlignment="1">
      <alignment horizontal="center" vertical="top"/>
    </xf>
    <xf numFmtId="0" fontId="15" fillId="0" borderId="0" xfId="0" applyFont="1" applyFill="1" applyBorder="1" applyAlignment="1">
      <alignment horizontal="center"/>
    </xf>
    <xf numFmtId="0" fontId="15" fillId="0" borderId="0" xfId="0" applyFont="1" applyFill="1" applyBorder="1" applyAlignment="1">
      <alignment horizontal="justify"/>
    </xf>
    <xf numFmtId="0" fontId="15" fillId="0" borderId="16" xfId="0" applyFont="1" applyFill="1" applyBorder="1" applyAlignment="1">
      <alignment horizontal="center" vertical="top"/>
    </xf>
    <xf numFmtId="2" fontId="15" fillId="0" borderId="12" xfId="2" applyNumberFormat="1" applyFont="1" applyFill="1" applyBorder="1" applyAlignment="1">
      <alignment horizontal="right" vertical="justify"/>
    </xf>
    <xf numFmtId="0" fontId="15" fillId="0" borderId="12" xfId="0" applyFont="1" applyFill="1" applyBorder="1" applyAlignment="1">
      <alignment horizontal="center" vertical="justify"/>
    </xf>
    <xf numFmtId="164" fontId="15" fillId="0" borderId="12" xfId="3" applyFont="1" applyFill="1" applyBorder="1" applyAlignment="1">
      <alignment horizontal="right" vertical="justify"/>
    </xf>
    <xf numFmtId="164" fontId="15" fillId="0" borderId="17" xfId="3" applyFont="1" applyFill="1" applyBorder="1" applyAlignment="1">
      <alignment horizontal="right" vertical="justify"/>
    </xf>
    <xf numFmtId="0" fontId="15" fillId="0" borderId="12" xfId="0" applyFont="1" applyFill="1" applyBorder="1" applyAlignment="1">
      <alignment horizontal="justify" vertical="top"/>
    </xf>
    <xf numFmtId="2" fontId="15" fillId="0" borderId="12" xfId="2" applyNumberFormat="1" applyFont="1" applyFill="1" applyBorder="1" applyAlignment="1">
      <alignment horizontal="right" vertical="top"/>
    </xf>
    <xf numFmtId="0" fontId="15" fillId="0" borderId="12" xfId="0" applyFont="1" applyFill="1" applyBorder="1" applyAlignment="1">
      <alignment horizontal="center" vertical="top"/>
    </xf>
    <xf numFmtId="164" fontId="15" fillId="0" borderId="17" xfId="3" applyFont="1" applyFill="1" applyBorder="1" applyAlignment="1">
      <alignment horizontal="right" vertical="top"/>
    </xf>
    <xf numFmtId="4" fontId="25" fillId="0" borderId="12" xfId="4" applyNumberFormat="1" applyFont="1" applyFill="1" applyBorder="1" applyAlignment="1">
      <alignment wrapText="1"/>
    </xf>
    <xf numFmtId="164" fontId="15" fillId="0" borderId="17" xfId="2" applyFont="1" applyFill="1" applyBorder="1" applyAlignment="1">
      <alignment horizontal="right" vertical="justify"/>
    </xf>
    <xf numFmtId="0" fontId="15" fillId="0" borderId="13" xfId="0" applyFont="1" applyFill="1" applyBorder="1" applyAlignment="1">
      <alignment horizontal="justify" vertical="top"/>
    </xf>
    <xf numFmtId="0" fontId="15" fillId="0" borderId="18" xfId="0" applyFont="1" applyFill="1" applyBorder="1" applyAlignment="1">
      <alignment horizontal="center" vertical="top"/>
    </xf>
    <xf numFmtId="0" fontId="15" fillId="0" borderId="19" xfId="0" applyFont="1" applyFill="1" applyBorder="1" applyAlignment="1">
      <alignment horizontal="justify" vertical="top"/>
    </xf>
    <xf numFmtId="2" fontId="15" fillId="0" borderId="19" xfId="2" applyNumberFormat="1" applyFont="1" applyFill="1" applyBorder="1" applyAlignment="1">
      <alignment horizontal="right" vertical="top"/>
    </xf>
    <xf numFmtId="0" fontId="15" fillId="0" borderId="19" xfId="0" applyFont="1" applyFill="1" applyBorder="1" applyAlignment="1">
      <alignment horizontal="center" vertical="top"/>
    </xf>
    <xf numFmtId="164" fontId="15" fillId="0" borderId="20" xfId="3" applyFont="1" applyFill="1" applyBorder="1" applyAlignment="1">
      <alignment horizontal="right" vertical="justify"/>
    </xf>
    <xf numFmtId="0" fontId="15" fillId="0" borderId="21" xfId="0" applyFont="1" applyFill="1" applyBorder="1" applyAlignment="1">
      <alignment horizontal="center" vertical="top"/>
    </xf>
    <xf numFmtId="0" fontId="15" fillId="0" borderId="22" xfId="0" applyFont="1" applyFill="1" applyBorder="1" applyAlignment="1">
      <alignment horizontal="justify" vertical="top"/>
    </xf>
    <xf numFmtId="2" fontId="15" fillId="0" borderId="22" xfId="2" applyNumberFormat="1" applyFont="1" applyFill="1" applyBorder="1" applyAlignment="1">
      <alignment horizontal="right" vertical="top"/>
    </xf>
    <xf numFmtId="0" fontId="15" fillId="0" borderId="22" xfId="0" applyFont="1" applyFill="1" applyBorder="1" applyAlignment="1">
      <alignment horizontal="center" vertical="top"/>
    </xf>
    <xf numFmtId="164" fontId="15" fillId="0" borderId="23" xfId="3" applyFont="1" applyFill="1" applyBorder="1" applyAlignment="1">
      <alignment horizontal="right" vertical="justify"/>
    </xf>
    <xf numFmtId="0" fontId="16" fillId="0" borderId="12" xfId="0" applyFont="1" applyFill="1" applyBorder="1" applyAlignment="1">
      <alignment horizontal="justify" vertical="top"/>
    </xf>
    <xf numFmtId="4" fontId="25" fillId="0" borderId="24" xfId="4" applyNumberFormat="1" applyFont="1" applyFill="1" applyBorder="1" applyAlignment="1">
      <alignment wrapText="1"/>
    </xf>
    <xf numFmtId="2" fontId="15" fillId="0" borderId="13" xfId="2" applyNumberFormat="1" applyFont="1" applyFill="1" applyBorder="1" applyAlignment="1">
      <alignment horizontal="right" vertical="top"/>
    </xf>
    <xf numFmtId="0" fontId="15" fillId="0" borderId="14" xfId="0" applyFont="1" applyFill="1" applyBorder="1" applyAlignment="1">
      <alignment horizontal="center" vertical="top"/>
    </xf>
    <xf numFmtId="164" fontId="15" fillId="0" borderId="15" xfId="3" applyFont="1" applyFill="1" applyBorder="1" applyAlignment="1">
      <alignment horizontal="right" vertical="justify"/>
    </xf>
    <xf numFmtId="0" fontId="15" fillId="0" borderId="24" xfId="0" applyFont="1" applyFill="1" applyBorder="1" applyAlignment="1">
      <alignment horizontal="justify" vertical="top" wrapText="1"/>
    </xf>
    <xf numFmtId="2" fontId="15" fillId="0" borderId="13" xfId="2" applyNumberFormat="1" applyFont="1" applyFill="1" applyBorder="1" applyAlignment="1">
      <alignment horizontal="right" vertical="justify"/>
    </xf>
    <xf numFmtId="0" fontId="15" fillId="0" borderId="14" xfId="0" applyFont="1" applyFill="1" applyBorder="1" applyAlignment="1">
      <alignment horizontal="center" vertical="justify"/>
    </xf>
    <xf numFmtId="0" fontId="16" fillId="0" borderId="25" xfId="0" applyFont="1" applyFill="1" applyBorder="1" applyAlignment="1">
      <alignment horizontal="justify" vertical="top" wrapText="1"/>
    </xf>
    <xf numFmtId="0" fontId="15" fillId="0" borderId="26" xfId="0" applyFont="1" applyFill="1" applyBorder="1" applyAlignment="1">
      <alignment horizontal="center" vertical="justify"/>
    </xf>
    <xf numFmtId="0" fontId="15" fillId="0" borderId="27" xfId="0" applyFont="1" applyFill="1" applyBorder="1" applyAlignment="1">
      <alignment horizontal="center" vertical="top"/>
    </xf>
    <xf numFmtId="0" fontId="15" fillId="0" borderId="28" xfId="0" applyFont="1" applyFill="1" applyBorder="1" applyAlignment="1">
      <alignment horizontal="justify" vertical="top" wrapText="1"/>
    </xf>
    <xf numFmtId="2" fontId="15" fillId="0" borderId="29" xfId="2" applyNumberFormat="1" applyFont="1" applyFill="1" applyBorder="1" applyAlignment="1">
      <alignment horizontal="right" vertical="justify"/>
    </xf>
    <xf numFmtId="0" fontId="15" fillId="0" borderId="30" xfId="0" applyFont="1" applyFill="1" applyBorder="1" applyAlignment="1">
      <alignment horizontal="center" vertical="justify"/>
    </xf>
    <xf numFmtId="164" fontId="15" fillId="0" borderId="31" xfId="3" applyFont="1" applyFill="1" applyBorder="1" applyAlignment="1">
      <alignment horizontal="right" vertical="justify"/>
    </xf>
    <xf numFmtId="4" fontId="15" fillId="0" borderId="51" xfId="0" applyNumberFormat="1" applyFont="1" applyBorder="1" applyAlignment="1">
      <alignment horizontal="center" vertical="top"/>
    </xf>
    <xf numFmtId="4" fontId="15" fillId="0" borderId="51" xfId="0" applyNumberFormat="1" applyFont="1" applyFill="1" applyBorder="1" applyAlignment="1">
      <alignment horizontal="justify" vertical="top" wrapText="1"/>
    </xf>
    <xf numFmtId="4" fontId="15" fillId="0" borderId="51" xfId="0" applyNumberFormat="1" applyFont="1" applyFill="1" applyBorder="1" applyAlignment="1">
      <alignment horizontal="right" vertical="top" wrapText="1"/>
    </xf>
    <xf numFmtId="4" fontId="15" fillId="0" borderId="51" xfId="0" applyNumberFormat="1" applyFont="1" applyFill="1" applyBorder="1" applyAlignment="1">
      <alignment horizontal="center" vertical="top"/>
    </xf>
    <xf numFmtId="4" fontId="15" fillId="0" borderId="51" xfId="0" applyNumberFormat="1" applyFont="1" applyFill="1" applyBorder="1" applyAlignment="1">
      <alignment horizontal="right" vertical="top"/>
    </xf>
    <xf numFmtId="4" fontId="18" fillId="0" borderId="47" xfId="0" applyNumberFormat="1" applyFont="1" applyFill="1" applyBorder="1" applyAlignment="1">
      <alignment horizontal="justify" vertical="center" wrapText="1"/>
    </xf>
    <xf numFmtId="4" fontId="18" fillId="0" borderId="47" xfId="0" applyNumberFormat="1" applyFont="1" applyFill="1" applyBorder="1" applyAlignment="1">
      <alignment horizontal="right" vertical="center" wrapText="1"/>
    </xf>
    <xf numFmtId="4" fontId="15" fillId="0" borderId="53" xfId="0" applyNumberFormat="1" applyFont="1" applyBorder="1" applyAlignment="1">
      <alignment horizontal="center" vertical="center"/>
    </xf>
    <xf numFmtId="4" fontId="16" fillId="0" borderId="53" xfId="0" applyNumberFormat="1" applyFont="1" applyFill="1" applyBorder="1" applyAlignment="1">
      <alignment horizontal="justify" vertical="center" wrapText="1"/>
    </xf>
    <xf numFmtId="4" fontId="19" fillId="0" borderId="53" xfId="0" applyNumberFormat="1" applyFont="1" applyFill="1" applyBorder="1" applyAlignment="1">
      <alignment horizontal="right" vertical="center" wrapText="1"/>
    </xf>
    <xf numFmtId="4" fontId="15" fillId="0" borderId="53" xfId="0" applyNumberFormat="1" applyFont="1" applyFill="1" applyBorder="1" applyAlignment="1">
      <alignment horizontal="center" vertical="top"/>
    </xf>
    <xf numFmtId="4" fontId="16" fillId="0" borderId="53" xfId="0" applyNumberFormat="1" applyFont="1" applyFill="1" applyBorder="1" applyAlignment="1">
      <alignment horizontal="right" vertical="top"/>
    </xf>
    <xf numFmtId="2" fontId="24" fillId="0" borderId="4" xfId="0" applyNumberFormat="1" applyFont="1" applyFill="1" applyBorder="1" applyAlignment="1">
      <alignment horizontal="center"/>
    </xf>
    <xf numFmtId="2" fontId="24" fillId="0" borderId="0" xfId="0" applyNumberFormat="1" applyFont="1" applyFill="1" applyBorder="1" applyAlignment="1">
      <alignment horizontal="center"/>
    </xf>
    <xf numFmtId="2" fontId="24" fillId="0" borderId="5" xfId="0" applyNumberFormat="1" applyFont="1" applyFill="1" applyBorder="1" applyAlignment="1">
      <alignment horizontal="center"/>
    </xf>
    <xf numFmtId="2" fontId="23" fillId="0" borderId="6" xfId="0" applyNumberFormat="1" applyFont="1" applyFill="1" applyBorder="1" applyAlignment="1">
      <alignment horizontal="center" vertical="top"/>
    </xf>
    <xf numFmtId="2" fontId="23" fillId="0" borderId="7" xfId="0" applyNumberFormat="1" applyFont="1" applyFill="1" applyBorder="1" applyAlignment="1">
      <alignment horizontal="center"/>
    </xf>
    <xf numFmtId="2" fontId="23" fillId="0" borderId="8" xfId="0" applyNumberFormat="1" applyFont="1" applyFill="1" applyBorder="1" applyAlignment="1">
      <alignment horizontal="center"/>
    </xf>
    <xf numFmtId="0" fontId="23" fillId="0" borderId="9" xfId="0" applyFont="1" applyFill="1" applyBorder="1" applyAlignment="1">
      <alignment horizontal="center"/>
    </xf>
    <xf numFmtId="164" fontId="23" fillId="0" borderId="10" xfId="2" applyFont="1" applyFill="1" applyBorder="1" applyAlignment="1">
      <alignment horizontal="center"/>
    </xf>
    <xf numFmtId="2" fontId="23" fillId="0" borderId="11" xfId="0" applyNumberFormat="1" applyFont="1" applyFill="1" applyBorder="1" applyAlignment="1">
      <alignment horizontal="center" vertical="top"/>
    </xf>
    <xf numFmtId="2" fontId="23" fillId="0" borderId="0" xfId="0" applyNumberFormat="1" applyFont="1" applyFill="1" applyBorder="1" applyAlignment="1">
      <alignment horizontal="center"/>
    </xf>
    <xf numFmtId="2" fontId="23" fillId="0" borderId="13" xfId="0" applyNumberFormat="1" applyFont="1" applyFill="1" applyBorder="1" applyAlignment="1">
      <alignment horizontal="center"/>
    </xf>
    <xf numFmtId="0" fontId="23" fillId="0" borderId="0" xfId="0" applyFont="1" applyFill="1" applyBorder="1" applyAlignment="1">
      <alignment horizontal="center"/>
    </xf>
    <xf numFmtId="164" fontId="23" fillId="0" borderId="15" xfId="2" applyFont="1" applyFill="1" applyBorder="1" applyAlignment="1">
      <alignment horizontal="center"/>
    </xf>
    <xf numFmtId="164" fontId="13" fillId="0" borderId="13" xfId="2" applyFont="1" applyFill="1" applyBorder="1" applyAlignment="1"/>
    <xf numFmtId="164" fontId="13" fillId="0" borderId="15" xfId="2" applyFont="1" applyFill="1" applyBorder="1" applyAlignment="1">
      <alignment horizontal="right"/>
    </xf>
    <xf numFmtId="0" fontId="13" fillId="0" borderId="11" xfId="0" applyFont="1" applyFill="1" applyBorder="1" applyAlignment="1">
      <alignment horizontal="center" vertical="center"/>
    </xf>
    <xf numFmtId="2" fontId="13" fillId="0" borderId="0" xfId="0" applyNumberFormat="1" applyFont="1" applyFill="1" applyBorder="1" applyAlignment="1">
      <alignment vertical="center"/>
    </xf>
    <xf numFmtId="164" fontId="13" fillId="0" borderId="13" xfId="2" applyFont="1" applyFill="1" applyBorder="1" applyAlignment="1">
      <alignment vertical="center"/>
    </xf>
    <xf numFmtId="2" fontId="13" fillId="0" borderId="0" xfId="0" applyNumberFormat="1" applyFont="1" applyFill="1" applyBorder="1" applyAlignment="1">
      <alignment horizontal="center" vertical="center" wrapText="1"/>
    </xf>
    <xf numFmtId="0" fontId="13" fillId="0" borderId="6" xfId="0" applyFont="1" applyFill="1" applyBorder="1" applyAlignment="1">
      <alignment horizontal="center" vertical="center"/>
    </xf>
    <xf numFmtId="2" fontId="23" fillId="0" borderId="44" xfId="0" applyNumberFormat="1" applyFont="1" applyFill="1" applyBorder="1" applyAlignment="1">
      <alignment vertical="center"/>
    </xf>
    <xf numFmtId="164" fontId="23" fillId="0" borderId="8" xfId="2" applyFont="1" applyFill="1" applyBorder="1" applyAlignment="1">
      <alignment vertical="center"/>
    </xf>
    <xf numFmtId="2" fontId="23" fillId="0" borderId="44" xfId="0" applyNumberFormat="1" applyFont="1" applyFill="1" applyBorder="1" applyAlignment="1">
      <alignment horizontal="center" vertical="center" wrapText="1"/>
    </xf>
    <xf numFmtId="164" fontId="23" fillId="0" borderId="10" xfId="2" applyFont="1" applyFill="1" applyBorder="1" applyAlignment="1">
      <alignment horizontal="right" vertical="center"/>
    </xf>
    <xf numFmtId="0" fontId="13" fillId="0" borderId="0" xfId="0" applyFont="1" applyBorder="1" applyAlignment="1">
      <alignment horizontal="center" vertical="top"/>
    </xf>
    <xf numFmtId="0" fontId="13" fillId="0" borderId="0" xfId="0" applyFont="1" applyBorder="1" applyAlignment="1">
      <alignment horizontal="justify"/>
    </xf>
    <xf numFmtId="2" fontId="13" fillId="0" borderId="0" xfId="0" applyNumberFormat="1" applyFont="1" applyBorder="1" applyAlignment="1">
      <alignment horizontal="center"/>
    </xf>
    <xf numFmtId="0" fontId="13" fillId="0" borderId="0" xfId="0" applyFont="1" applyBorder="1" applyAlignment="1">
      <alignment horizontal="center"/>
    </xf>
    <xf numFmtId="0" fontId="13" fillId="0" borderId="27" xfId="0" applyFont="1" applyFill="1" applyBorder="1" applyAlignment="1">
      <alignment horizontal="center" vertical="top"/>
    </xf>
    <xf numFmtId="2" fontId="13" fillId="0" borderId="35" xfId="0" applyNumberFormat="1" applyFont="1" applyFill="1" applyBorder="1"/>
    <xf numFmtId="164" fontId="13" fillId="0" borderId="29" xfId="2" applyFont="1" applyFill="1" applyBorder="1" applyAlignment="1"/>
    <xf numFmtId="2" fontId="13" fillId="0" borderId="35" xfId="0" applyNumberFormat="1" applyFont="1" applyFill="1" applyBorder="1" applyAlignment="1">
      <alignment horizontal="center" wrapText="1"/>
    </xf>
    <xf numFmtId="164" fontId="13" fillId="0" borderId="31" xfId="2" applyFont="1" applyFill="1" applyBorder="1" applyAlignment="1">
      <alignment horizontal="right"/>
    </xf>
    <xf numFmtId="0" fontId="13" fillId="0" borderId="24" xfId="0" applyFont="1" applyBorder="1" applyAlignment="1">
      <alignment horizontal="justify" vertical="center"/>
    </xf>
    <xf numFmtId="164" fontId="13" fillId="0" borderId="15" xfId="2" applyFont="1" applyFill="1" applyBorder="1" applyAlignment="1">
      <alignment vertical="center"/>
    </xf>
    <xf numFmtId="0" fontId="13" fillId="0" borderId="11" xfId="0" applyFont="1" applyFill="1" applyBorder="1" applyAlignment="1">
      <alignment horizontal="center" vertical="center" wrapText="1"/>
    </xf>
    <xf numFmtId="0" fontId="13" fillId="0" borderId="0" xfId="0" applyFont="1" applyBorder="1" applyAlignment="1">
      <alignment horizontal="right" vertical="center"/>
    </xf>
    <xf numFmtId="164" fontId="13" fillId="0" borderId="13" xfId="2" applyFont="1" applyFill="1" applyBorder="1" applyAlignment="1">
      <alignment vertical="center" wrapText="1"/>
    </xf>
    <xf numFmtId="164" fontId="13" fillId="0" borderId="15" xfId="2" applyFont="1" applyFill="1" applyBorder="1" applyAlignment="1">
      <alignment vertical="center" wrapText="1"/>
    </xf>
    <xf numFmtId="0" fontId="13" fillId="0" borderId="0" xfId="0" applyFont="1" applyBorder="1" applyAlignment="1">
      <alignment horizontal="justify" vertical="center"/>
    </xf>
    <xf numFmtId="164" fontId="13" fillId="0" borderId="15" xfId="2" applyFont="1" applyFill="1" applyBorder="1" applyAlignment="1">
      <alignment horizontal="right" vertical="center" wrapText="1"/>
    </xf>
    <xf numFmtId="0" fontId="13" fillId="0" borderId="11" xfId="0" applyFont="1" applyFill="1" applyBorder="1" applyAlignment="1">
      <alignment horizontal="center" vertical="top" wrapText="1"/>
    </xf>
    <xf numFmtId="2" fontId="23" fillId="0" borderId="0" xfId="0" applyNumberFormat="1" applyFont="1" applyFill="1" applyBorder="1" applyAlignment="1">
      <alignment horizontal="right" wrapText="1"/>
    </xf>
    <xf numFmtId="164" fontId="13" fillId="0" borderId="13" xfId="2" applyFont="1" applyFill="1" applyBorder="1" applyAlignment="1">
      <alignment wrapText="1"/>
    </xf>
    <xf numFmtId="164" fontId="23" fillId="0" borderId="38" xfId="2" applyFont="1" applyFill="1" applyBorder="1" applyAlignment="1">
      <alignment horizontal="right"/>
    </xf>
    <xf numFmtId="0" fontId="13" fillId="0" borderId="27" xfId="0" applyFont="1" applyFill="1" applyBorder="1" applyAlignment="1">
      <alignment horizontal="center" vertical="top" wrapText="1"/>
    </xf>
    <xf numFmtId="0" fontId="13" fillId="0" borderId="35" xfId="0" applyFont="1" applyBorder="1" applyAlignment="1">
      <alignment horizontal="justify"/>
    </xf>
    <xf numFmtId="164" fontId="13" fillId="0" borderId="29" xfId="2" applyFont="1" applyFill="1" applyBorder="1" applyAlignment="1">
      <alignment wrapText="1"/>
    </xf>
    <xf numFmtId="0" fontId="13" fillId="0" borderId="40" xfId="0" applyFont="1" applyBorder="1" applyAlignment="1">
      <alignment horizontal="center"/>
    </xf>
    <xf numFmtId="2" fontId="15" fillId="0" borderId="0" xfId="0" applyNumberFormat="1" applyFont="1" applyFill="1" applyBorder="1"/>
    <xf numFmtId="164" fontId="15" fillId="0" borderId="13" xfId="2" applyFont="1" applyFill="1" applyBorder="1" applyAlignment="1"/>
    <xf numFmtId="2" fontId="15" fillId="0" borderId="0" xfId="0" applyNumberFormat="1" applyFont="1" applyFill="1" applyBorder="1" applyAlignment="1">
      <alignment horizontal="center" wrapText="1"/>
    </xf>
    <xf numFmtId="164" fontId="15" fillId="0" borderId="15" xfId="2" applyFont="1" applyFill="1" applyBorder="1" applyAlignment="1">
      <alignment horizontal="right"/>
    </xf>
    <xf numFmtId="164" fontId="15" fillId="0" borderId="15" xfId="2" applyFont="1" applyFill="1" applyBorder="1" applyAlignment="1">
      <alignment horizontal="right" vertical="center"/>
    </xf>
    <xf numFmtId="0" fontId="15" fillId="0" borderId="0" xfId="0" applyFont="1" applyBorder="1" applyAlignment="1">
      <alignment horizontal="center" vertical="top"/>
    </xf>
    <xf numFmtId="0" fontId="15" fillId="0" borderId="0" xfId="0" applyFont="1" applyBorder="1" applyAlignment="1">
      <alignment horizontal="justify"/>
    </xf>
    <xf numFmtId="2" fontId="15" fillId="0" borderId="0" xfId="0" applyNumberFormat="1" applyFont="1" applyBorder="1" applyAlignment="1">
      <alignment horizontal="center"/>
    </xf>
    <xf numFmtId="0" fontId="15" fillId="0" borderId="0" xfId="0" applyFont="1" applyBorder="1" applyAlignment="1">
      <alignment horizontal="center"/>
    </xf>
    <xf numFmtId="0" fontId="16" fillId="0" borderId="36" xfId="0" applyFont="1" applyFill="1" applyBorder="1" applyAlignment="1">
      <alignment horizontal="center" vertical="top"/>
    </xf>
    <xf numFmtId="2" fontId="19" fillId="0" borderId="2" xfId="0" applyNumberFormat="1" applyFont="1" applyFill="1" applyBorder="1"/>
    <xf numFmtId="164" fontId="15" fillId="0" borderId="37" xfId="2" applyFont="1" applyFill="1" applyBorder="1" applyAlignment="1"/>
    <xf numFmtId="2" fontId="15" fillId="0" borderId="2" xfId="0" applyNumberFormat="1" applyFont="1" applyFill="1" applyBorder="1" applyAlignment="1">
      <alignment horizontal="center" wrapText="1"/>
    </xf>
    <xf numFmtId="2" fontId="19" fillId="0" borderId="0" xfId="0" applyNumberFormat="1" applyFont="1" applyFill="1" applyBorder="1"/>
    <xf numFmtId="2" fontId="15" fillId="0" borderId="12" xfId="0" applyNumberFormat="1" applyFont="1" applyFill="1" applyBorder="1" applyAlignment="1">
      <alignment horizontal="left" wrapText="1"/>
    </xf>
    <xf numFmtId="164" fontId="15" fillId="0" borderId="12" xfId="2" applyFont="1" applyFill="1" applyBorder="1" applyAlignment="1">
      <alignment vertical="top"/>
    </xf>
    <xf numFmtId="2" fontId="15" fillId="0" borderId="12" xfId="0" applyNumberFormat="1" applyFont="1" applyFill="1" applyBorder="1" applyAlignment="1">
      <alignment horizontal="center" vertical="top" wrapText="1"/>
    </xf>
    <xf numFmtId="164" fontId="15" fillId="0" borderId="12" xfId="2" applyFont="1" applyFill="1" applyBorder="1" applyAlignment="1">
      <alignment horizontal="center" vertical="top"/>
    </xf>
    <xf numFmtId="2" fontId="15" fillId="0" borderId="12" xfId="0" applyNumberFormat="1" applyFont="1" applyFill="1" applyBorder="1"/>
    <xf numFmtId="164" fontId="15" fillId="0" borderId="12" xfId="2" applyFont="1" applyFill="1" applyBorder="1" applyAlignment="1"/>
    <xf numFmtId="2" fontId="15" fillId="0" borderId="12" xfId="0" applyNumberFormat="1" applyFont="1" applyFill="1" applyBorder="1" applyAlignment="1">
      <alignment horizontal="center" wrapText="1"/>
    </xf>
    <xf numFmtId="164" fontId="15" fillId="0" borderId="34" xfId="2" applyFont="1" applyFill="1" applyBorder="1" applyAlignment="1">
      <alignment horizontal="center"/>
    </xf>
    <xf numFmtId="2" fontId="16" fillId="0" borderId="19" xfId="0" applyNumberFormat="1" applyFont="1" applyFill="1" applyBorder="1"/>
    <xf numFmtId="164" fontId="16" fillId="0" borderId="19" xfId="2" applyFont="1" applyFill="1" applyBorder="1" applyAlignment="1"/>
    <xf numFmtId="2" fontId="16" fillId="0" borderId="19" xfId="0" applyNumberFormat="1" applyFont="1" applyFill="1" applyBorder="1" applyAlignment="1">
      <alignment horizontal="center" wrapText="1"/>
    </xf>
    <xf numFmtId="164" fontId="16" fillId="0" borderId="20" xfId="2" applyFont="1" applyFill="1" applyBorder="1" applyAlignment="1">
      <alignment horizontal="right"/>
    </xf>
    <xf numFmtId="4" fontId="13" fillId="0" borderId="0" xfId="0" applyNumberFormat="1" applyFont="1" applyBorder="1" applyAlignment="1">
      <alignment vertical="top"/>
    </xf>
    <xf numFmtId="4" fontId="13" fillId="0" borderId="0" xfId="0" applyNumberFormat="1" applyFont="1" applyBorder="1" applyAlignment="1">
      <alignment horizontal="center" vertical="top"/>
    </xf>
    <xf numFmtId="4" fontId="13" fillId="0" borderId="0" xfId="0" applyNumberFormat="1" applyFont="1" applyBorder="1" applyAlignment="1">
      <alignment horizontal="justify" vertical="top"/>
    </xf>
    <xf numFmtId="4" fontId="13" fillId="0" borderId="0" xfId="0" applyNumberFormat="1" applyFont="1" applyBorder="1" applyAlignment="1">
      <alignment horizontal="right" vertical="top"/>
    </xf>
    <xf numFmtId="0" fontId="15" fillId="0" borderId="5" xfId="0" applyFont="1" applyBorder="1" applyAlignment="1">
      <alignment wrapText="1"/>
    </xf>
    <xf numFmtId="0" fontId="15" fillId="0" borderId="0" xfId="0" applyFont="1"/>
    <xf numFmtId="164" fontId="16" fillId="0" borderId="8" xfId="1" applyFont="1" applyFill="1" applyBorder="1" applyAlignment="1">
      <alignment horizontal="center"/>
    </xf>
    <xf numFmtId="164" fontId="15" fillId="0" borderId="13" xfId="1" applyFont="1" applyFill="1" applyBorder="1" applyAlignment="1">
      <alignment horizontal="center"/>
    </xf>
    <xf numFmtId="164" fontId="15" fillId="0" borderId="13" xfId="1" applyFont="1" applyFill="1" applyBorder="1" applyAlignment="1">
      <alignment horizontal="right"/>
    </xf>
    <xf numFmtId="164" fontId="15" fillId="0" borderId="12" xfId="1" applyFont="1" applyFill="1" applyBorder="1" applyAlignment="1">
      <alignment horizontal="right" vertical="justify"/>
    </xf>
    <xf numFmtId="164" fontId="15" fillId="0" borderId="12" xfId="1" applyFont="1" applyFill="1" applyBorder="1" applyAlignment="1">
      <alignment horizontal="right" vertical="top"/>
    </xf>
    <xf numFmtId="164" fontId="15" fillId="0" borderId="19" xfId="1" applyFont="1" applyFill="1" applyBorder="1" applyAlignment="1">
      <alignment horizontal="right" vertical="justify"/>
    </xf>
    <xf numFmtId="164" fontId="15" fillId="0" borderId="22" xfId="1" applyFont="1" applyFill="1" applyBorder="1" applyAlignment="1">
      <alignment horizontal="right" vertical="justify"/>
    </xf>
    <xf numFmtId="164" fontId="15" fillId="0" borderId="13" xfId="1" applyFont="1" applyFill="1" applyBorder="1" applyAlignment="1">
      <alignment horizontal="right" vertical="justify"/>
    </xf>
    <xf numFmtId="164" fontId="15" fillId="0" borderId="29" xfId="1" applyFont="1" applyFill="1" applyBorder="1" applyAlignment="1">
      <alignment horizontal="right" vertical="justify"/>
    </xf>
    <xf numFmtId="164" fontId="15" fillId="0" borderId="50" xfId="1" applyFont="1" applyFill="1" applyBorder="1" applyAlignment="1">
      <alignment horizontal="right" vertical="top"/>
    </xf>
    <xf numFmtId="164" fontId="15" fillId="0" borderId="52" xfId="1" applyFont="1" applyFill="1" applyBorder="1" applyAlignment="1">
      <alignment horizontal="right" vertical="top"/>
    </xf>
    <xf numFmtId="164" fontId="15" fillId="0" borderId="54" xfId="1" applyFont="1" applyFill="1" applyBorder="1" applyAlignment="1">
      <alignment horizontal="right" vertical="top"/>
    </xf>
    <xf numFmtId="164" fontId="15" fillId="0" borderId="48" xfId="1" applyFont="1" applyFill="1" applyBorder="1" applyAlignment="1">
      <alignment horizontal="right" vertical="top"/>
    </xf>
    <xf numFmtId="164" fontId="16" fillId="0" borderId="50" xfId="1" applyFont="1" applyFill="1" applyBorder="1" applyAlignment="1">
      <alignment horizontal="right" vertical="top"/>
    </xf>
    <xf numFmtId="164" fontId="15" fillId="0" borderId="0" xfId="1" applyFont="1" applyBorder="1" applyAlignment="1">
      <alignment horizontal="right" vertical="top"/>
    </xf>
    <xf numFmtId="164" fontId="24" fillId="0" borderId="0" xfId="1" applyFont="1" applyFill="1" applyBorder="1" applyAlignment="1">
      <alignment horizontal="center"/>
    </xf>
    <xf numFmtId="164" fontId="23" fillId="0" borderId="8" xfId="1" applyFont="1" applyFill="1" applyBorder="1" applyAlignment="1">
      <alignment horizontal="center"/>
    </xf>
    <xf numFmtId="164" fontId="23" fillId="0" borderId="13" xfId="1" applyFont="1" applyFill="1" applyBorder="1" applyAlignment="1">
      <alignment horizontal="center"/>
    </xf>
    <xf numFmtId="164" fontId="13" fillId="0" borderId="13" xfId="1" applyFont="1" applyFill="1" applyBorder="1" applyAlignment="1">
      <alignment horizontal="right" wrapText="1"/>
    </xf>
    <xf numFmtId="164" fontId="13" fillId="0" borderId="13" xfId="1" applyFont="1" applyFill="1" applyBorder="1" applyAlignment="1">
      <alignment horizontal="right" vertical="center" wrapText="1"/>
    </xf>
    <xf numFmtId="164" fontId="23" fillId="0" borderId="8" xfId="1" applyFont="1" applyFill="1" applyBorder="1" applyAlignment="1">
      <alignment horizontal="right" vertical="center" wrapText="1"/>
    </xf>
    <xf numFmtId="164" fontId="13" fillId="0" borderId="0" xfId="1" applyFont="1" applyBorder="1" applyAlignment="1">
      <alignment horizontal="center"/>
    </xf>
    <xf numFmtId="164" fontId="15" fillId="0" borderId="37" xfId="1" applyFont="1" applyFill="1" applyBorder="1" applyAlignment="1"/>
    <xf numFmtId="164" fontId="15" fillId="0" borderId="13" xfId="1" applyFont="1" applyFill="1" applyBorder="1" applyAlignment="1"/>
    <xf numFmtId="164" fontId="15" fillId="0" borderId="12" xfId="1" applyFont="1" applyFill="1" applyBorder="1" applyAlignment="1">
      <alignment horizontal="center" vertical="top"/>
    </xf>
    <xf numFmtId="164" fontId="15" fillId="0" borderId="33" xfId="1" applyFont="1" applyFill="1" applyBorder="1" applyAlignment="1">
      <alignment horizontal="center"/>
    </xf>
    <xf numFmtId="164" fontId="15" fillId="0" borderId="13" xfId="1" applyFont="1" applyFill="1" applyBorder="1" applyAlignment="1">
      <alignment horizontal="right" wrapText="1"/>
    </xf>
    <xf numFmtId="164" fontId="16" fillId="0" borderId="19" xfId="1" applyFont="1" applyFill="1" applyBorder="1" applyAlignment="1">
      <alignment horizontal="right" wrapText="1"/>
    </xf>
    <xf numFmtId="164" fontId="15" fillId="0" borderId="0" xfId="1" applyFont="1" applyBorder="1" applyAlignment="1">
      <alignment horizontal="center"/>
    </xf>
    <xf numFmtId="164" fontId="13" fillId="0" borderId="29" xfId="1" applyFont="1" applyFill="1" applyBorder="1" applyAlignment="1">
      <alignment horizontal="right" wrapText="1"/>
    </xf>
    <xf numFmtId="164" fontId="13" fillId="0" borderId="0" xfId="1" applyFont="1" applyBorder="1" applyAlignment="1">
      <alignment horizontal="right" vertical="top"/>
    </xf>
    <xf numFmtId="4" fontId="15" fillId="0" borderId="55" xfId="0" applyNumberFormat="1" applyFont="1" applyBorder="1" applyAlignment="1">
      <alignment horizontal="center" vertical="center"/>
    </xf>
    <xf numFmtId="4" fontId="16" fillId="0" borderId="55" xfId="0" applyNumberFormat="1" applyFont="1" applyFill="1" applyBorder="1" applyAlignment="1">
      <alignment horizontal="justify" vertical="center" wrapText="1"/>
    </xf>
    <xf numFmtId="4" fontId="19" fillId="0" borderId="55" xfId="0" applyNumberFormat="1" applyFont="1" applyFill="1" applyBorder="1" applyAlignment="1">
      <alignment horizontal="right" vertical="center" wrapText="1"/>
    </xf>
    <xf numFmtId="4" fontId="15" fillId="0" borderId="55" xfId="0" applyNumberFormat="1" applyFont="1" applyFill="1" applyBorder="1" applyAlignment="1">
      <alignment horizontal="center" vertical="top"/>
    </xf>
    <xf numFmtId="164" fontId="15" fillId="0" borderId="56" xfId="1" applyFont="1" applyFill="1" applyBorder="1" applyAlignment="1">
      <alignment horizontal="right" vertical="top"/>
    </xf>
    <xf numFmtId="4" fontId="16" fillId="0" borderId="55" xfId="0" applyNumberFormat="1" applyFont="1" applyFill="1" applyBorder="1" applyAlignment="1">
      <alignment horizontal="right" vertical="top"/>
    </xf>
    <xf numFmtId="4" fontId="15" fillId="0" borderId="47" xfId="0" applyNumberFormat="1" applyFont="1" applyBorder="1" applyAlignment="1">
      <alignment horizontal="center" vertical="top"/>
    </xf>
    <xf numFmtId="4" fontId="15" fillId="0" borderId="13" xfId="0" applyNumberFormat="1" applyFont="1" applyBorder="1" applyAlignment="1">
      <alignment horizontal="center" vertical="top"/>
    </xf>
    <xf numFmtId="4" fontId="15" fillId="0" borderId="57" xfId="0" applyNumberFormat="1" applyFont="1" applyBorder="1" applyAlignment="1">
      <alignment horizontal="center" vertical="top"/>
    </xf>
    <xf numFmtId="4" fontId="15" fillId="0" borderId="59" xfId="0" applyNumberFormat="1" applyFont="1" applyBorder="1" applyAlignment="1">
      <alignment horizontal="center" vertical="top"/>
    </xf>
    <xf numFmtId="4" fontId="15" fillId="0" borderId="32" xfId="0" applyNumberFormat="1" applyFont="1" applyBorder="1" applyAlignment="1">
      <alignment horizontal="center" vertical="center"/>
    </xf>
    <xf numFmtId="4" fontId="15" fillId="0" borderId="41" xfId="0" applyNumberFormat="1" applyFont="1" applyFill="1" applyBorder="1" applyAlignment="1">
      <alignment horizontal="right" vertical="top"/>
    </xf>
    <xf numFmtId="4" fontId="15" fillId="0" borderId="24" xfId="0" applyNumberFormat="1" applyFont="1" applyFill="1" applyBorder="1" applyAlignment="1">
      <alignment horizontal="right" vertical="top"/>
    </xf>
    <xf numFmtId="4" fontId="15" fillId="0" borderId="61" xfId="0" applyNumberFormat="1" applyFont="1" applyFill="1" applyBorder="1" applyAlignment="1">
      <alignment horizontal="right" vertical="top"/>
    </xf>
    <xf numFmtId="4" fontId="15" fillId="0" borderId="62" xfId="0" applyNumberFormat="1" applyFont="1" applyBorder="1" applyAlignment="1">
      <alignment horizontal="center" vertical="top"/>
    </xf>
    <xf numFmtId="4" fontId="18" fillId="0" borderId="41" xfId="0" applyNumberFormat="1" applyFont="1" applyFill="1" applyBorder="1" applyAlignment="1">
      <alignment horizontal="justify" vertical="center" wrapText="1"/>
    </xf>
    <xf numFmtId="4" fontId="15" fillId="0" borderId="24" xfId="0" applyNumberFormat="1" applyFont="1" applyFill="1" applyBorder="1" applyAlignment="1">
      <alignment horizontal="justify" vertical="top" wrapText="1"/>
    </xf>
    <xf numFmtId="4" fontId="15" fillId="0" borderId="64" xfId="0" applyNumberFormat="1" applyFont="1" applyFill="1" applyBorder="1" applyAlignment="1">
      <alignment horizontal="justify" vertical="top" wrapText="1"/>
    </xf>
    <xf numFmtId="4" fontId="15" fillId="0" borderId="65" xfId="0" applyNumberFormat="1" applyFont="1" applyFill="1" applyBorder="1" applyAlignment="1">
      <alignment horizontal="justify" vertical="top" wrapText="1"/>
    </xf>
    <xf numFmtId="4" fontId="15" fillId="0" borderId="63" xfId="0" applyNumberFormat="1" applyFont="1" applyFill="1" applyBorder="1" applyAlignment="1">
      <alignment horizontal="justify" vertical="top" wrapText="1"/>
    </xf>
    <xf numFmtId="4" fontId="15" fillId="0" borderId="60" xfId="0" applyNumberFormat="1" applyFont="1" applyFill="1" applyBorder="1" applyAlignment="1">
      <alignment horizontal="justify" vertical="top" wrapText="1"/>
    </xf>
    <xf numFmtId="4" fontId="15" fillId="0" borderId="61" xfId="0" applyNumberFormat="1" applyFont="1" applyFill="1" applyBorder="1" applyAlignment="1">
      <alignment horizontal="justify" vertical="top" wrapText="1"/>
    </xf>
    <xf numFmtId="4" fontId="15" fillId="0" borderId="58" xfId="0" applyNumberFormat="1" applyFont="1" applyFill="1" applyBorder="1" applyAlignment="1">
      <alignment horizontal="center" vertical="top"/>
    </xf>
    <xf numFmtId="4" fontId="15" fillId="0" borderId="46" xfId="0" applyNumberFormat="1" applyFont="1" applyFill="1" applyBorder="1" applyAlignment="1">
      <alignment horizontal="center" vertical="top"/>
    </xf>
    <xf numFmtId="4" fontId="18" fillId="0" borderId="41" xfId="0" applyNumberFormat="1" applyFont="1" applyFill="1" applyBorder="1" applyAlignment="1">
      <alignment horizontal="right" vertical="center" wrapText="1"/>
    </xf>
    <xf numFmtId="4" fontId="15" fillId="0" borderId="24" xfId="0" applyNumberFormat="1" applyFont="1" applyFill="1" applyBorder="1" applyAlignment="1">
      <alignment horizontal="right" vertical="top" wrapText="1"/>
    </xf>
    <xf numFmtId="4" fontId="15" fillId="0" borderId="64" xfId="0" applyNumberFormat="1" applyFont="1" applyFill="1" applyBorder="1" applyAlignment="1">
      <alignment horizontal="right" vertical="top" wrapText="1"/>
    </xf>
    <xf numFmtId="4" fontId="15" fillId="0" borderId="65" xfId="0" applyNumberFormat="1" applyFont="1" applyFill="1" applyBorder="1" applyAlignment="1">
      <alignment horizontal="right" vertical="top" wrapText="1"/>
    </xf>
    <xf numFmtId="4" fontId="15" fillId="0" borderId="66" xfId="0" applyNumberFormat="1" applyFont="1" applyFill="1" applyBorder="1" applyAlignment="1">
      <alignment horizontal="right" vertical="top" wrapText="1"/>
    </xf>
    <xf numFmtId="4" fontId="15" fillId="0" borderId="61" xfId="0" applyNumberFormat="1" applyFont="1" applyFill="1" applyBorder="1" applyAlignment="1">
      <alignment horizontal="right" vertical="top" wrapText="1"/>
    </xf>
    <xf numFmtId="4" fontId="19" fillId="0" borderId="16" xfId="0" applyNumberFormat="1" applyFont="1" applyFill="1" applyBorder="1" applyAlignment="1">
      <alignment horizontal="right" vertical="center" wrapText="1"/>
    </xf>
    <xf numFmtId="4" fontId="15" fillId="0" borderId="32" xfId="0" applyNumberFormat="1" applyFont="1" applyFill="1" applyBorder="1" applyAlignment="1">
      <alignment horizontal="center" vertical="top"/>
    </xf>
    <xf numFmtId="4" fontId="15" fillId="0" borderId="13" xfId="0" applyNumberFormat="1" applyFont="1" applyFill="1" applyBorder="1" applyAlignment="1">
      <alignment horizontal="center" vertical="top"/>
    </xf>
    <xf numFmtId="4" fontId="15" fillId="0" borderId="57" xfId="0" applyNumberFormat="1" applyFont="1" applyFill="1" applyBorder="1" applyAlignment="1">
      <alignment horizontal="center" vertical="top"/>
    </xf>
    <xf numFmtId="4" fontId="15" fillId="0" borderId="59" xfId="0" applyNumberFormat="1" applyFont="1" applyFill="1" applyBorder="1" applyAlignment="1">
      <alignment horizontal="center" vertical="top"/>
    </xf>
    <xf numFmtId="4" fontId="15" fillId="0" borderId="67" xfId="0" applyNumberFormat="1" applyFont="1" applyFill="1" applyBorder="1" applyAlignment="1">
      <alignment horizontal="center" vertical="top"/>
    </xf>
    <xf numFmtId="4" fontId="15" fillId="0" borderId="64" xfId="0" applyNumberFormat="1" applyFont="1" applyFill="1" applyBorder="1" applyAlignment="1">
      <alignment horizontal="right" vertical="top"/>
    </xf>
    <xf numFmtId="4" fontId="15" fillId="0" borderId="65" xfId="0" applyNumberFormat="1" applyFont="1" applyFill="1" applyBorder="1" applyAlignment="1">
      <alignment horizontal="right" vertical="top"/>
    </xf>
    <xf numFmtId="4" fontId="15" fillId="0" borderId="66" xfId="0" applyNumberFormat="1" applyFont="1" applyFill="1" applyBorder="1" applyAlignment="1">
      <alignment horizontal="right" vertical="top"/>
    </xf>
    <xf numFmtId="164" fontId="15" fillId="0" borderId="41" xfId="1" applyFont="1" applyFill="1" applyBorder="1" applyAlignment="1">
      <alignment horizontal="right" vertical="top"/>
    </xf>
    <xf numFmtId="164" fontId="15" fillId="0" borderId="24" xfId="1" applyFont="1" applyFill="1" applyBorder="1" applyAlignment="1">
      <alignment horizontal="right" vertical="top"/>
    </xf>
    <xf numFmtId="164" fontId="15" fillId="0" borderId="64" xfId="1" applyFont="1" applyFill="1" applyBorder="1" applyAlignment="1">
      <alignment horizontal="right" vertical="top"/>
    </xf>
    <xf numFmtId="164" fontId="15" fillId="0" borderId="65" xfId="1" applyFont="1" applyFill="1" applyBorder="1" applyAlignment="1">
      <alignment horizontal="right" vertical="top"/>
    </xf>
    <xf numFmtId="164" fontId="15" fillId="0" borderId="66" xfId="1" applyFont="1" applyFill="1" applyBorder="1" applyAlignment="1">
      <alignment horizontal="right" vertical="top"/>
    </xf>
    <xf numFmtId="164" fontId="15" fillId="0" borderId="61" xfId="1" applyFont="1" applyFill="1" applyBorder="1" applyAlignment="1">
      <alignment horizontal="right" vertical="top"/>
    </xf>
    <xf numFmtId="0" fontId="26" fillId="0" borderId="13" xfId="0" applyFont="1" applyBorder="1" applyAlignment="1">
      <alignment vertical="center"/>
    </xf>
    <xf numFmtId="0" fontId="24" fillId="0" borderId="24" xfId="0" applyFont="1" applyFill="1" applyBorder="1" applyAlignment="1">
      <alignment horizontal="justify" vertical="center"/>
    </xf>
    <xf numFmtId="0" fontId="13" fillId="0" borderId="24" xfId="0" applyFont="1" applyBorder="1"/>
    <xf numFmtId="0" fontId="13" fillId="0" borderId="13" xfId="0" applyFont="1" applyBorder="1"/>
    <xf numFmtId="164" fontId="13" fillId="0" borderId="24" xfId="1" applyFont="1" applyBorder="1"/>
    <xf numFmtId="0" fontId="13" fillId="0" borderId="24" xfId="0" applyFont="1" applyFill="1" applyBorder="1" applyAlignment="1">
      <alignment horizontal="justify" vertical="top"/>
    </xf>
    <xf numFmtId="0" fontId="27" fillId="0" borderId="13" xfId="0" applyFont="1" applyBorder="1" applyAlignment="1">
      <alignment horizontal="center" vertical="center"/>
    </xf>
    <xf numFmtId="165" fontId="13" fillId="0" borderId="24" xfId="0" applyNumberFormat="1" applyFont="1" applyBorder="1" applyAlignment="1">
      <alignment horizontal="center"/>
    </xf>
    <xf numFmtId="0" fontId="13" fillId="0" borderId="13" xfId="0" applyFont="1" applyBorder="1" applyAlignment="1">
      <alignment horizontal="center"/>
    </xf>
    <xf numFmtId="0" fontId="24" fillId="0" borderId="24" xfId="0" applyFont="1" applyFill="1" applyBorder="1" applyAlignment="1">
      <alignment horizontal="justify" vertical="top"/>
    </xf>
    <xf numFmtId="0" fontId="13" fillId="0" borderId="24" xfId="0" applyFont="1" applyFill="1" applyBorder="1" applyAlignment="1">
      <alignment horizontal="justify" vertical="center"/>
    </xf>
    <xf numFmtId="165" fontId="13" fillId="0" borderId="24" xfId="0" applyNumberFormat="1" applyFont="1" applyBorder="1"/>
    <xf numFmtId="164" fontId="13" fillId="0" borderId="24" xfId="1" applyFont="1" applyBorder="1" applyAlignment="1">
      <alignment horizontal="right"/>
    </xf>
    <xf numFmtId="0" fontId="13" fillId="0" borderId="13" xfId="0" applyFont="1" applyBorder="1" applyAlignment="1">
      <alignment horizontal="center" vertical="center"/>
    </xf>
    <xf numFmtId="0" fontId="23" fillId="0" borderId="13" xfId="0" applyFont="1" applyBorder="1" applyAlignment="1">
      <alignment horizontal="center"/>
    </xf>
    <xf numFmtId="164" fontId="23" fillId="0" borderId="42" xfId="0" applyNumberFormat="1" applyFont="1" applyBorder="1"/>
    <xf numFmtId="4" fontId="16" fillId="0" borderId="42" xfId="0" applyNumberFormat="1" applyFont="1" applyFill="1" applyBorder="1" applyAlignment="1">
      <alignment horizontal="right" vertical="top"/>
    </xf>
    <xf numFmtId="0" fontId="15" fillId="0" borderId="12" xfId="0" applyFont="1" applyBorder="1" applyAlignment="1">
      <alignment horizontal="justify" vertical="top"/>
    </xf>
    <xf numFmtId="164" fontId="16" fillId="0" borderId="0" xfId="2" applyFont="1" applyFill="1" applyBorder="1" applyAlignment="1">
      <alignment horizontal="center"/>
    </xf>
    <xf numFmtId="4" fontId="15" fillId="0" borderId="0" xfId="0" applyNumberFormat="1" applyFont="1" applyFill="1" applyBorder="1" applyAlignment="1">
      <alignment horizontal="right" vertical="top"/>
    </xf>
    <xf numFmtId="4" fontId="16" fillId="0" borderId="0" xfId="0" applyNumberFormat="1" applyFont="1" applyFill="1" applyBorder="1" applyAlignment="1">
      <alignment horizontal="right" vertical="top"/>
    </xf>
    <xf numFmtId="4" fontId="16" fillId="0" borderId="53" xfId="0" applyNumberFormat="1" applyFont="1" applyFill="1" applyBorder="1" applyAlignment="1">
      <alignment horizontal="left" vertical="center" wrapText="1"/>
    </xf>
    <xf numFmtId="4" fontId="32" fillId="0" borderId="0" xfId="0" applyNumberFormat="1" applyFont="1" applyBorder="1" applyAlignment="1">
      <alignment vertical="top"/>
    </xf>
    <xf numFmtId="0" fontId="32" fillId="0" borderId="11" xfId="0" applyFont="1" applyFill="1" applyBorder="1" applyAlignment="1">
      <alignment horizontal="center" vertical="center"/>
    </xf>
    <xf numFmtId="0" fontId="32" fillId="0" borderId="24" xfId="0" applyFont="1" applyBorder="1" applyAlignment="1">
      <alignment horizontal="justify" vertical="center"/>
    </xf>
    <xf numFmtId="164" fontId="32" fillId="0" borderId="15" xfId="1" applyFont="1" applyFill="1" applyBorder="1" applyAlignment="1">
      <alignment vertical="center"/>
    </xf>
    <xf numFmtId="4" fontId="32" fillId="0" borderId="0" xfId="0" applyNumberFormat="1" applyFont="1" applyBorder="1" applyAlignment="1">
      <alignment horizontal="center" vertical="top"/>
    </xf>
    <xf numFmtId="4" fontId="32" fillId="0" borderId="0" xfId="0" applyNumberFormat="1" applyFont="1" applyBorder="1" applyAlignment="1">
      <alignment horizontal="justify" vertical="top"/>
    </xf>
    <xf numFmtId="164" fontId="32" fillId="0" borderId="0" xfId="1" applyFont="1" applyBorder="1" applyAlignment="1">
      <alignment horizontal="right" vertical="top"/>
    </xf>
    <xf numFmtId="164" fontId="15" fillId="0" borderId="13" xfId="1" applyFont="1" applyFill="1" applyBorder="1" applyAlignment="1">
      <alignment horizontal="right" vertical="top"/>
    </xf>
    <xf numFmtId="0" fontId="16" fillId="0" borderId="13" xfId="0" applyFont="1" applyFill="1" applyBorder="1" applyAlignment="1">
      <alignment horizontal="justify" vertical="top"/>
    </xf>
    <xf numFmtId="0" fontId="19" fillId="0" borderId="37" xfId="0" applyFont="1" applyFill="1" applyBorder="1" applyAlignment="1">
      <alignment horizontal="left" vertical="top"/>
    </xf>
    <xf numFmtId="0" fontId="19" fillId="0" borderId="13" xfId="0" applyFont="1" applyFill="1" applyBorder="1" applyAlignment="1">
      <alignment horizontal="left" vertical="top"/>
    </xf>
    <xf numFmtId="0" fontId="15" fillId="0" borderId="13" xfId="0" applyFont="1" applyFill="1" applyBorder="1" applyAlignment="1">
      <alignment horizontal="left" vertical="top" wrapText="1"/>
    </xf>
    <xf numFmtId="4" fontId="15" fillId="0" borderId="13" xfId="0" applyNumberFormat="1" applyFont="1" applyBorder="1" applyAlignment="1">
      <alignment horizontal="center" vertical="center"/>
    </xf>
    <xf numFmtId="4" fontId="15" fillId="0" borderId="13" xfId="0" applyNumberFormat="1" applyFont="1" applyFill="1" applyBorder="1" applyAlignment="1">
      <alignment horizontal="right" vertical="top"/>
    </xf>
    <xf numFmtId="0" fontId="30" fillId="0" borderId="13" xfId="0" applyFont="1" applyFill="1" applyBorder="1" applyAlignment="1">
      <alignment wrapText="1"/>
    </xf>
    <xf numFmtId="4" fontId="19" fillId="0" borderId="13" xfId="0" applyNumberFormat="1" applyFont="1" applyFill="1" applyBorder="1" applyAlignment="1">
      <alignment horizontal="right" vertical="center" wrapText="1"/>
    </xf>
    <xf numFmtId="4" fontId="19" fillId="0" borderId="13" xfId="0" applyNumberFormat="1" applyFont="1" applyFill="1" applyBorder="1" applyAlignment="1">
      <alignment horizontal="justify" vertical="center" wrapText="1"/>
    </xf>
    <xf numFmtId="4" fontId="15" fillId="0" borderId="13" xfId="0" applyNumberFormat="1" applyFont="1" applyFill="1" applyBorder="1" applyAlignment="1">
      <alignment horizontal="justify" vertical="top" wrapText="1"/>
    </xf>
    <xf numFmtId="4" fontId="15" fillId="0" borderId="13" xfId="0" applyNumberFormat="1" applyFont="1" applyFill="1" applyBorder="1" applyAlignment="1">
      <alignment horizontal="right" vertical="top" wrapText="1"/>
    </xf>
    <xf numFmtId="0" fontId="30" fillId="0" borderId="13" xfId="0" applyFont="1" applyFill="1" applyBorder="1" applyAlignment="1">
      <alignment vertical="top" wrapText="1"/>
    </xf>
    <xf numFmtId="4" fontId="16" fillId="0" borderId="13" xfId="0" applyNumberFormat="1" applyFont="1" applyFill="1" applyBorder="1" applyAlignment="1">
      <alignment horizontal="right" vertical="center" wrapText="1"/>
    </xf>
    <xf numFmtId="4" fontId="15" fillId="0" borderId="13" xfId="0" applyNumberFormat="1" applyFont="1" applyFill="1" applyBorder="1" applyAlignment="1">
      <alignment horizontal="justify" vertical="center" wrapText="1"/>
    </xf>
    <xf numFmtId="4" fontId="15" fillId="0" borderId="13" xfId="0" applyNumberFormat="1" applyFont="1" applyFill="1" applyBorder="1" applyAlignment="1">
      <alignment horizontal="right" vertical="center" wrapText="1"/>
    </xf>
    <xf numFmtId="4" fontId="16" fillId="0" borderId="13" xfId="0" applyNumberFormat="1" applyFont="1" applyFill="1" applyBorder="1" applyAlignment="1">
      <alignment horizontal="justify" vertical="center" wrapText="1"/>
    </xf>
    <xf numFmtId="4" fontId="16" fillId="0" borderId="13" xfId="0" applyNumberFormat="1" applyFont="1" applyBorder="1" applyAlignment="1">
      <alignment horizontal="center" vertical="center"/>
    </xf>
    <xf numFmtId="4" fontId="18" fillId="0" borderId="13" xfId="0" applyNumberFormat="1" applyFont="1" applyFill="1" applyBorder="1" applyAlignment="1">
      <alignment horizontal="justify" vertical="center" wrapText="1"/>
    </xf>
    <xf numFmtId="4" fontId="18" fillId="0" borderId="13" xfId="0" applyNumberFormat="1" applyFont="1" applyFill="1" applyBorder="1" applyAlignment="1">
      <alignment horizontal="right" vertical="center" wrapText="1"/>
    </xf>
    <xf numFmtId="4" fontId="15" fillId="0" borderId="6" xfId="0" applyNumberFormat="1" applyFont="1" applyBorder="1" applyAlignment="1">
      <alignment horizontal="center" vertical="center"/>
    </xf>
    <xf numFmtId="4" fontId="19" fillId="0" borderId="8" xfId="0" applyNumberFormat="1" applyFont="1" applyFill="1" applyBorder="1" applyAlignment="1">
      <alignment horizontal="right" vertical="center" wrapText="1"/>
    </xf>
    <xf numFmtId="4" fontId="15" fillId="0" borderId="8" xfId="0" applyNumberFormat="1" applyFont="1" applyFill="1" applyBorder="1" applyAlignment="1">
      <alignment horizontal="center" vertical="top"/>
    </xf>
    <xf numFmtId="164" fontId="15" fillId="0" borderId="8" xfId="1" applyFont="1" applyFill="1" applyBorder="1" applyAlignment="1">
      <alignment horizontal="right" vertical="top"/>
    </xf>
    <xf numFmtId="4" fontId="16" fillId="0" borderId="10" xfId="0" applyNumberFormat="1" applyFont="1" applyFill="1" applyBorder="1" applyAlignment="1">
      <alignment horizontal="right" vertical="top"/>
    </xf>
    <xf numFmtId="4" fontId="16" fillId="0" borderId="8" xfId="0" applyNumberFormat="1" applyFont="1" applyFill="1" applyBorder="1" applyAlignment="1">
      <alignment horizontal="justify" vertical="center" wrapText="1"/>
    </xf>
    <xf numFmtId="4" fontId="15" fillId="0" borderId="37" xfId="0" applyNumberFormat="1" applyFont="1" applyBorder="1" applyAlignment="1">
      <alignment horizontal="center" vertical="center"/>
    </xf>
    <xf numFmtId="4" fontId="18" fillId="0" borderId="37" xfId="0" applyNumberFormat="1" applyFont="1" applyFill="1" applyBorder="1" applyAlignment="1">
      <alignment horizontal="justify" vertical="center" wrapText="1"/>
    </xf>
    <xf numFmtId="4" fontId="18" fillId="0" borderId="37" xfId="0" applyNumberFormat="1" applyFont="1" applyFill="1" applyBorder="1" applyAlignment="1">
      <alignment horizontal="right" vertical="center" wrapText="1"/>
    </xf>
    <xf numFmtId="4" fontId="15" fillId="0" borderId="37" xfId="0" applyNumberFormat="1" applyFont="1" applyFill="1" applyBorder="1" applyAlignment="1">
      <alignment horizontal="center" vertical="top"/>
    </xf>
    <xf numFmtId="164" fontId="15" fillId="0" borderId="37" xfId="1" applyFont="1" applyFill="1" applyBorder="1" applyAlignment="1">
      <alignment horizontal="right" vertical="top"/>
    </xf>
    <xf numFmtId="4" fontId="15" fillId="0" borderId="13" xfId="0" applyNumberFormat="1" applyFont="1" applyFill="1" applyBorder="1" applyAlignment="1">
      <alignment horizontal="left" vertical="top" wrapText="1"/>
    </xf>
    <xf numFmtId="9" fontId="15" fillId="0" borderId="13" xfId="8" applyFont="1" applyFill="1" applyBorder="1" applyAlignment="1">
      <alignment horizontal="left" vertical="top" wrapText="1"/>
    </xf>
    <xf numFmtId="4" fontId="16" fillId="0" borderId="13" xfId="0" applyNumberFormat="1" applyFont="1" applyFill="1" applyBorder="1" applyAlignment="1">
      <alignment horizontal="justify" vertical="top" wrapText="1"/>
    </xf>
    <xf numFmtId="4" fontId="31" fillId="0" borderId="13" xfId="0" applyNumberFormat="1" applyFont="1" applyFill="1" applyBorder="1" applyAlignment="1">
      <alignment horizontal="justify" vertical="center" wrapText="1"/>
    </xf>
    <xf numFmtId="4" fontId="16" fillId="0" borderId="13" xfId="0" applyNumberFormat="1" applyFont="1" applyFill="1" applyBorder="1" applyAlignment="1">
      <alignment horizontal="left" vertical="center" wrapText="1"/>
    </xf>
    <xf numFmtId="4" fontId="15" fillId="0" borderId="37" xfId="0" applyNumberFormat="1" applyFont="1" applyFill="1" applyBorder="1" applyAlignment="1">
      <alignment horizontal="center" vertical="center"/>
    </xf>
    <xf numFmtId="4" fontId="15" fillId="0" borderId="13" xfId="0" applyNumberFormat="1" applyFont="1" applyFill="1" applyBorder="1" applyAlignment="1">
      <alignment vertical="center" wrapText="1"/>
    </xf>
    <xf numFmtId="0" fontId="15" fillId="0" borderId="13" xfId="0" applyFont="1" applyFill="1" applyBorder="1" applyAlignment="1">
      <alignment vertical="top" wrapText="1"/>
    </xf>
    <xf numFmtId="4" fontId="16" fillId="0" borderId="49" xfId="0" applyNumberFormat="1" applyFont="1" applyFill="1" applyBorder="1" applyAlignment="1">
      <alignment horizontal="justify" vertical="top" wrapText="1"/>
    </xf>
    <xf numFmtId="4" fontId="13" fillId="0" borderId="13" xfId="0" applyNumberFormat="1" applyFont="1" applyFill="1" applyBorder="1" applyAlignment="1">
      <alignment horizontal="justify" vertical="center" wrapText="1"/>
    </xf>
    <xf numFmtId="4" fontId="16" fillId="0" borderId="49" xfId="0" applyNumberFormat="1" applyFont="1" applyBorder="1" applyAlignment="1">
      <alignment horizontal="center" vertical="top"/>
    </xf>
    <xf numFmtId="4" fontId="16" fillId="0" borderId="13" xfId="0" applyNumberFormat="1" applyFont="1" applyBorder="1" applyAlignment="1">
      <alignment horizontal="center" vertical="top"/>
    </xf>
    <xf numFmtId="4" fontId="15" fillId="0" borderId="0" xfId="15" applyNumberFormat="1" applyFont="1" applyFill="1" applyBorder="1" applyAlignment="1">
      <alignment vertical="center"/>
    </xf>
    <xf numFmtId="164" fontId="15" fillId="0" borderId="0" xfId="16" applyFont="1" applyFill="1" applyBorder="1" applyAlignment="1">
      <alignment vertical="center"/>
    </xf>
    <xf numFmtId="2" fontId="16" fillId="0" borderId="6" xfId="15" applyNumberFormat="1" applyFont="1" applyFill="1" applyBorder="1" applyAlignment="1">
      <alignment horizontal="center"/>
    </xf>
    <xf numFmtId="2" fontId="16" fillId="0" borderId="7" xfId="15" applyNumberFormat="1" applyFont="1" applyFill="1" applyBorder="1" applyAlignment="1">
      <alignment horizontal="center"/>
    </xf>
    <xf numFmtId="2" fontId="16" fillId="0" borderId="8" xfId="15" applyNumberFormat="1" applyFont="1" applyFill="1" applyBorder="1" applyAlignment="1">
      <alignment horizontal="center"/>
    </xf>
    <xf numFmtId="0" fontId="16" fillId="0" borderId="9" xfId="15" applyFont="1" applyFill="1" applyBorder="1" applyAlignment="1">
      <alignment horizontal="center"/>
    </xf>
    <xf numFmtId="164" fontId="16" fillId="0" borderId="8" xfId="16" applyFont="1" applyFill="1" applyBorder="1" applyAlignment="1">
      <alignment horizontal="center"/>
    </xf>
    <xf numFmtId="0" fontId="15" fillId="0" borderId="11" xfId="15" applyFont="1" applyFill="1" applyBorder="1" applyAlignment="1">
      <alignment horizontal="center" vertical="top"/>
    </xf>
    <xf numFmtId="0" fontId="19" fillId="0" borderId="12" xfId="15" applyFont="1" applyFill="1" applyBorder="1" applyAlignment="1">
      <alignment horizontal="left" vertical="top"/>
    </xf>
    <xf numFmtId="2" fontId="15" fillId="0" borderId="13" xfId="15" applyNumberFormat="1" applyFont="1" applyFill="1" applyBorder="1" applyAlignment="1">
      <alignment horizontal="center"/>
    </xf>
    <xf numFmtId="0" fontId="15" fillId="0" borderId="14" xfId="15" applyFont="1" applyFill="1" applyBorder="1" applyAlignment="1">
      <alignment horizontal="center"/>
    </xf>
    <xf numFmtId="164" fontId="15" fillId="0" borderId="13" xfId="16" applyFont="1" applyFill="1" applyBorder="1" applyAlignment="1">
      <alignment horizontal="center"/>
    </xf>
    <xf numFmtId="0" fontId="15" fillId="0" borderId="15" xfId="15" applyFont="1" applyFill="1" applyBorder="1" applyAlignment="1">
      <alignment horizontal="center"/>
    </xf>
    <xf numFmtId="0" fontId="16" fillId="0" borderId="11" xfId="15" applyFont="1" applyFill="1" applyBorder="1" applyAlignment="1">
      <alignment horizontal="center" vertical="top"/>
    </xf>
    <xf numFmtId="0" fontId="15" fillId="0" borderId="0" xfId="15" applyFont="1" applyFill="1" applyBorder="1" applyAlignment="1">
      <alignment horizontal="center"/>
    </xf>
    <xf numFmtId="164" fontId="15" fillId="0" borderId="13" xfId="16" applyFont="1" applyFill="1" applyBorder="1" applyAlignment="1">
      <alignment horizontal="right"/>
    </xf>
    <xf numFmtId="0" fontId="15" fillId="0" borderId="0" xfId="15" applyFont="1" applyFill="1" applyBorder="1" applyAlignment="1">
      <alignment horizontal="justify"/>
    </xf>
    <xf numFmtId="0" fontId="15" fillId="0" borderId="16" xfId="15" applyFont="1" applyFill="1" applyBorder="1" applyAlignment="1">
      <alignment horizontal="center" vertical="top"/>
    </xf>
    <xf numFmtId="0" fontId="15" fillId="0" borderId="12" xfId="15" applyFont="1" applyFill="1" applyBorder="1" applyAlignment="1">
      <alignment horizontal="center" vertical="justify"/>
    </xf>
    <xf numFmtId="164" fontId="15" fillId="0" borderId="12" xfId="16" applyFont="1" applyFill="1" applyBorder="1" applyAlignment="1">
      <alignment horizontal="right" vertical="justify"/>
    </xf>
    <xf numFmtId="0" fontId="15" fillId="0" borderId="12" xfId="15" applyFont="1" applyFill="1" applyBorder="1" applyAlignment="1">
      <alignment horizontal="justify" vertical="top"/>
    </xf>
    <xf numFmtId="0" fontId="15" fillId="0" borderId="12" xfId="15" applyFont="1" applyFill="1" applyBorder="1" applyAlignment="1">
      <alignment horizontal="center" vertical="top"/>
    </xf>
    <xf numFmtId="164" fontId="15" fillId="0" borderId="12" xfId="16" applyFont="1" applyFill="1" applyBorder="1" applyAlignment="1">
      <alignment horizontal="right" vertical="top"/>
    </xf>
    <xf numFmtId="4" fontId="25" fillId="0" borderId="12" xfId="17" applyNumberFormat="1" applyFont="1" applyFill="1" applyBorder="1" applyAlignment="1">
      <alignment wrapText="1"/>
    </xf>
    <xf numFmtId="0" fontId="15" fillId="0" borderId="13" xfId="15" applyFont="1" applyFill="1" applyBorder="1" applyAlignment="1">
      <alignment horizontal="justify" vertical="top"/>
    </xf>
    <xf numFmtId="0" fontId="15" fillId="0" borderId="18" xfId="15" applyFont="1" applyFill="1" applyBorder="1" applyAlignment="1">
      <alignment horizontal="center" vertical="top"/>
    </xf>
    <xf numFmtId="0" fontId="15" fillId="0" borderId="19" xfId="15" applyFont="1" applyFill="1" applyBorder="1" applyAlignment="1">
      <alignment horizontal="justify" vertical="top"/>
    </xf>
    <xf numFmtId="0" fontId="15" fillId="0" borderId="19" xfId="15" applyFont="1" applyFill="1" applyBorder="1" applyAlignment="1">
      <alignment horizontal="center" vertical="top"/>
    </xf>
    <xf numFmtId="164" fontId="15" fillId="0" borderId="19" xfId="16" applyFont="1" applyFill="1" applyBorder="1" applyAlignment="1">
      <alignment horizontal="right" vertical="justify"/>
    </xf>
    <xf numFmtId="0" fontId="15" fillId="0" borderId="21" xfId="15" applyFont="1" applyFill="1" applyBorder="1" applyAlignment="1">
      <alignment horizontal="center" vertical="top"/>
    </xf>
    <xf numFmtId="0" fontId="15" fillId="0" borderId="22" xfId="15" applyFont="1" applyFill="1" applyBorder="1" applyAlignment="1">
      <alignment horizontal="justify" vertical="top"/>
    </xf>
    <xf numFmtId="0" fontId="15" fillId="0" borderId="22" xfId="15" applyFont="1" applyFill="1" applyBorder="1" applyAlignment="1">
      <alignment horizontal="center" vertical="top"/>
    </xf>
    <xf numFmtId="164" fontId="15" fillId="0" borderId="22" xfId="16" applyFont="1" applyFill="1" applyBorder="1" applyAlignment="1">
      <alignment horizontal="right" vertical="justify"/>
    </xf>
    <xf numFmtId="0" fontId="16" fillId="0" borderId="12" xfId="15" applyFont="1" applyFill="1" applyBorder="1" applyAlignment="1">
      <alignment horizontal="justify" vertical="top"/>
    </xf>
    <xf numFmtId="4" fontId="25" fillId="0" borderId="24" xfId="17" applyNumberFormat="1" applyFont="1" applyFill="1" applyBorder="1" applyAlignment="1">
      <alignment wrapText="1"/>
    </xf>
    <xf numFmtId="0" fontId="15" fillId="0" borderId="14" xfId="15" applyFont="1" applyFill="1" applyBorder="1" applyAlignment="1">
      <alignment horizontal="center" vertical="top"/>
    </xf>
    <xf numFmtId="164" fontId="15" fillId="0" borderId="13" xfId="16" applyFont="1" applyFill="1" applyBorder="1" applyAlignment="1">
      <alignment horizontal="right" vertical="justify"/>
    </xf>
    <xf numFmtId="0" fontId="15" fillId="0" borderId="24" xfId="15" applyFont="1" applyFill="1" applyBorder="1" applyAlignment="1">
      <alignment horizontal="justify" vertical="top" wrapText="1"/>
    </xf>
    <xf numFmtId="0" fontId="15" fillId="0" borderId="14" xfId="15" applyFont="1" applyFill="1" applyBorder="1" applyAlignment="1">
      <alignment horizontal="center" vertical="justify"/>
    </xf>
    <xf numFmtId="0" fontId="16" fillId="0" borderId="25" xfId="15" applyFont="1" applyFill="1" applyBorder="1" applyAlignment="1">
      <alignment horizontal="justify" vertical="top" wrapText="1"/>
    </xf>
    <xf numFmtId="0" fontId="15" fillId="0" borderId="26" xfId="15" applyFont="1" applyFill="1" applyBorder="1" applyAlignment="1">
      <alignment horizontal="center" vertical="justify"/>
    </xf>
    <xf numFmtId="0" fontId="15" fillId="0" borderId="27" xfId="15" applyFont="1" applyFill="1" applyBorder="1" applyAlignment="1">
      <alignment horizontal="center" vertical="top"/>
    </xf>
    <xf numFmtId="0" fontId="15" fillId="0" borderId="28" xfId="15" applyFont="1" applyFill="1" applyBorder="1" applyAlignment="1">
      <alignment horizontal="justify" vertical="top" wrapText="1"/>
    </xf>
    <xf numFmtId="0" fontId="15" fillId="0" borderId="30" xfId="15" applyFont="1" applyFill="1" applyBorder="1" applyAlignment="1">
      <alignment horizontal="center" vertical="justify"/>
    </xf>
    <xf numFmtId="164" fontId="15" fillId="0" borderId="29" xfId="16" applyFont="1" applyFill="1" applyBorder="1" applyAlignment="1">
      <alignment horizontal="right" vertical="justify"/>
    </xf>
    <xf numFmtId="4" fontId="15" fillId="0" borderId="49" xfId="15" applyNumberFormat="1" applyFont="1" applyBorder="1" applyAlignment="1">
      <alignment horizontal="center" vertical="center"/>
    </xf>
    <xf numFmtId="4" fontId="18" fillId="0" borderId="49" xfId="15" applyNumberFormat="1" applyFont="1" applyFill="1" applyBorder="1" applyAlignment="1">
      <alignment horizontal="justify" vertical="center"/>
    </xf>
    <xf numFmtId="4" fontId="18" fillId="0" borderId="49" xfId="15" applyNumberFormat="1" applyFont="1" applyFill="1" applyBorder="1" applyAlignment="1">
      <alignment horizontal="right" vertical="center"/>
    </xf>
    <xf numFmtId="4" fontId="15" fillId="0" borderId="49" xfId="15" applyNumberFormat="1" applyFont="1" applyFill="1" applyBorder="1" applyAlignment="1">
      <alignment horizontal="center" vertical="top"/>
    </xf>
    <xf numFmtId="164" fontId="15" fillId="0" borderId="50" xfId="16" applyFont="1" applyFill="1" applyBorder="1" applyAlignment="1">
      <alignment horizontal="right" vertical="top"/>
    </xf>
    <xf numFmtId="4" fontId="15" fillId="0" borderId="49" xfId="15" applyNumberFormat="1" applyFont="1" applyFill="1" applyBorder="1" applyAlignment="1">
      <alignment horizontal="right" vertical="top"/>
    </xf>
    <xf numFmtId="4" fontId="15" fillId="0" borderId="0" xfId="15" applyNumberFormat="1" applyFont="1" applyBorder="1" applyAlignment="1">
      <alignment vertical="center"/>
    </xf>
    <xf numFmtId="164" fontId="15" fillId="0" borderId="0" xfId="16" applyFont="1" applyBorder="1" applyAlignment="1">
      <alignment vertical="center"/>
    </xf>
    <xf numFmtId="4" fontId="19" fillId="0" borderId="49" xfId="15" applyNumberFormat="1" applyFont="1" applyFill="1" applyBorder="1" applyAlignment="1">
      <alignment horizontal="justify" vertical="center" wrapText="1"/>
    </xf>
    <xf numFmtId="4" fontId="19" fillId="0" borderId="49" xfId="15" applyNumberFormat="1" applyFont="1" applyFill="1" applyBorder="1" applyAlignment="1">
      <alignment horizontal="right" vertical="center" wrapText="1"/>
    </xf>
    <xf numFmtId="4" fontId="15" fillId="0" borderId="49" xfId="15" applyNumberFormat="1" applyFont="1" applyBorder="1" applyAlignment="1">
      <alignment horizontal="center" vertical="top"/>
    </xf>
    <xf numFmtId="4" fontId="15" fillId="0" borderId="49" xfId="15" applyNumberFormat="1" applyFont="1" applyFill="1" applyBorder="1" applyAlignment="1">
      <alignment horizontal="justify" vertical="top" wrapText="1"/>
    </xf>
    <xf numFmtId="4" fontId="15" fillId="0" borderId="49" xfId="15" applyNumberFormat="1" applyFont="1" applyFill="1" applyBorder="1" applyAlignment="1">
      <alignment horizontal="right" vertical="top" wrapText="1"/>
    </xf>
    <xf numFmtId="4" fontId="15" fillId="0" borderId="0" xfId="15" applyNumberFormat="1" applyFont="1" applyBorder="1" applyAlignment="1">
      <alignment vertical="top"/>
    </xf>
    <xf numFmtId="164" fontId="15" fillId="0" borderId="0" xfId="16" applyFont="1" applyBorder="1" applyAlignment="1">
      <alignment vertical="top"/>
    </xf>
    <xf numFmtId="4" fontId="16" fillId="0" borderId="49" xfId="15" applyNumberFormat="1" applyFont="1" applyFill="1" applyBorder="1" applyAlignment="1">
      <alignment horizontal="justify" vertical="center" wrapText="1"/>
    </xf>
    <xf numFmtId="4" fontId="16" fillId="0" borderId="49" xfId="15" applyNumberFormat="1" applyFont="1" applyFill="1" applyBorder="1" applyAlignment="1">
      <alignment horizontal="right" vertical="center" wrapText="1"/>
    </xf>
    <xf numFmtId="4" fontId="15" fillId="0" borderId="49" xfId="15" applyNumberFormat="1" applyFont="1" applyFill="1" applyBorder="1" applyAlignment="1">
      <alignment horizontal="justify" vertical="center" wrapText="1"/>
    </xf>
    <xf numFmtId="4" fontId="15" fillId="0" borderId="49" xfId="15" applyNumberFormat="1" applyFont="1" applyFill="1" applyBorder="1" applyAlignment="1">
      <alignment horizontal="right" vertical="center" wrapText="1"/>
    </xf>
    <xf numFmtId="4" fontId="16" fillId="0" borderId="49" xfId="15" applyNumberFormat="1" applyFont="1" applyBorder="1" applyAlignment="1">
      <alignment horizontal="center" vertical="center"/>
    </xf>
    <xf numFmtId="4" fontId="18" fillId="0" borderId="49" xfId="15" applyNumberFormat="1" applyFont="1" applyFill="1" applyBorder="1" applyAlignment="1">
      <alignment horizontal="justify" vertical="center" wrapText="1"/>
    </xf>
    <xf numFmtId="4" fontId="18" fillId="0" borderId="49" xfId="15" applyNumberFormat="1" applyFont="1" applyFill="1" applyBorder="1" applyAlignment="1">
      <alignment horizontal="right" vertical="center" wrapText="1"/>
    </xf>
    <xf numFmtId="4" fontId="15" fillId="0" borderId="51" xfId="15" applyNumberFormat="1" applyFont="1" applyBorder="1" applyAlignment="1">
      <alignment horizontal="center" vertical="top"/>
    </xf>
    <xf numFmtId="4" fontId="15" fillId="0" borderId="51" xfId="15" applyNumberFormat="1" applyFont="1" applyFill="1" applyBorder="1" applyAlignment="1">
      <alignment horizontal="justify" vertical="top" wrapText="1"/>
    </xf>
    <xf numFmtId="4" fontId="15" fillId="0" borderId="51" xfId="15" applyNumberFormat="1" applyFont="1" applyFill="1" applyBorder="1" applyAlignment="1">
      <alignment horizontal="right" vertical="top" wrapText="1"/>
    </xf>
    <xf numFmtId="4" fontId="15" fillId="0" borderId="51" xfId="15" applyNumberFormat="1" applyFont="1" applyFill="1" applyBorder="1" applyAlignment="1">
      <alignment horizontal="center" vertical="top"/>
    </xf>
    <xf numFmtId="164" fontId="15" fillId="0" borderId="52" xfId="16" applyFont="1" applyFill="1" applyBorder="1" applyAlignment="1">
      <alignment horizontal="right" vertical="top"/>
    </xf>
    <xf numFmtId="4" fontId="15" fillId="0" borderId="51" xfId="15" applyNumberFormat="1" applyFont="1" applyFill="1" applyBorder="1" applyAlignment="1">
      <alignment horizontal="right" vertical="top"/>
    </xf>
    <xf numFmtId="4" fontId="15" fillId="0" borderId="53" xfId="15" applyNumberFormat="1" applyFont="1" applyBorder="1" applyAlignment="1">
      <alignment horizontal="center" vertical="center"/>
    </xf>
    <xf numFmtId="4" fontId="16" fillId="0" borderId="53" xfId="15" applyNumberFormat="1" applyFont="1" applyFill="1" applyBorder="1" applyAlignment="1">
      <alignment horizontal="justify" vertical="center" wrapText="1"/>
    </xf>
    <xf numFmtId="4" fontId="19" fillId="0" borderId="53" xfId="15" applyNumberFormat="1" applyFont="1" applyFill="1" applyBorder="1" applyAlignment="1">
      <alignment horizontal="right" vertical="center" wrapText="1"/>
    </xf>
    <xf numFmtId="4" fontId="15" fillId="0" borderId="53" xfId="15" applyNumberFormat="1" applyFont="1" applyFill="1" applyBorder="1" applyAlignment="1">
      <alignment horizontal="center" vertical="top"/>
    </xf>
    <xf numFmtId="164" fontId="15" fillId="0" borderId="54" xfId="16" applyFont="1" applyFill="1" applyBorder="1" applyAlignment="1">
      <alignment horizontal="right" vertical="top"/>
    </xf>
    <xf numFmtId="4" fontId="16" fillId="0" borderId="53" xfId="15" applyNumberFormat="1" applyFont="1" applyFill="1" applyBorder="1" applyAlignment="1">
      <alignment horizontal="right" vertical="top"/>
    </xf>
    <xf numFmtId="4" fontId="15" fillId="0" borderId="47" xfId="15" applyNumberFormat="1" applyFont="1" applyBorder="1" applyAlignment="1">
      <alignment horizontal="center" vertical="center"/>
    </xf>
    <xf numFmtId="4" fontId="18" fillId="0" borderId="47" xfId="15" applyNumberFormat="1" applyFont="1" applyFill="1" applyBorder="1" applyAlignment="1">
      <alignment horizontal="justify" vertical="center" wrapText="1"/>
    </xf>
    <xf numFmtId="4" fontId="18" fillId="0" borderId="47" xfId="15" applyNumberFormat="1" applyFont="1" applyFill="1" applyBorder="1" applyAlignment="1">
      <alignment horizontal="right" vertical="center" wrapText="1"/>
    </xf>
    <xf numFmtId="4" fontId="15" fillId="0" borderId="47" xfId="15" applyNumberFormat="1" applyFont="1" applyFill="1" applyBorder="1" applyAlignment="1">
      <alignment horizontal="center" vertical="top"/>
    </xf>
    <xf numFmtId="164" fontId="15" fillId="0" borderId="48" xfId="16" applyFont="1" applyFill="1" applyBorder="1" applyAlignment="1">
      <alignment horizontal="right" vertical="top"/>
    </xf>
    <xf numFmtId="4" fontId="15" fillId="0" borderId="47" xfId="15" applyNumberFormat="1" applyFont="1" applyFill="1" applyBorder="1" applyAlignment="1">
      <alignment horizontal="right" vertical="top"/>
    </xf>
    <xf numFmtId="4" fontId="15" fillId="0" borderId="49" xfId="15" applyNumberFormat="1" applyFont="1" applyFill="1" applyBorder="1" applyAlignment="1">
      <alignment horizontal="center" vertical="center"/>
    </xf>
    <xf numFmtId="0" fontId="11" fillId="0" borderId="12" xfId="15" applyFont="1" applyBorder="1" applyAlignment="1">
      <alignment horizontal="justify" vertical="justify"/>
    </xf>
    <xf numFmtId="164" fontId="11" fillId="0" borderId="12" xfId="16" applyFont="1" applyFill="1" applyBorder="1" applyAlignment="1"/>
    <xf numFmtId="0" fontId="10" fillId="0" borderId="22" xfId="15" applyFont="1" applyBorder="1" applyAlignment="1">
      <alignment horizontal="justify" vertical="justify"/>
    </xf>
    <xf numFmtId="0" fontId="15" fillId="0" borderId="5" xfId="15" applyFont="1" applyBorder="1" applyAlignment="1">
      <alignment vertical="center" wrapText="1"/>
    </xf>
    <xf numFmtId="4" fontId="16" fillId="0" borderId="49" xfId="15" applyNumberFormat="1" applyFont="1" applyFill="1" applyBorder="1" applyAlignment="1">
      <alignment horizontal="center" vertical="top"/>
    </xf>
    <xf numFmtId="164" fontId="16" fillId="0" borderId="50" xfId="16" applyFont="1" applyFill="1" applyBorder="1" applyAlignment="1">
      <alignment horizontal="right" vertical="top"/>
    </xf>
    <xf numFmtId="4" fontId="16" fillId="0" borderId="49" xfId="15" applyNumberFormat="1" applyFont="1" applyFill="1" applyBorder="1" applyAlignment="1">
      <alignment horizontal="right" vertical="top"/>
    </xf>
    <xf numFmtId="4" fontId="16" fillId="0" borderId="0" xfId="15" applyNumberFormat="1" applyFont="1" applyBorder="1" applyAlignment="1">
      <alignment vertical="center"/>
    </xf>
    <xf numFmtId="164" fontId="16" fillId="0" borderId="0" xfId="16" applyFont="1" applyBorder="1" applyAlignment="1">
      <alignment vertical="center"/>
    </xf>
    <xf numFmtId="4" fontId="15" fillId="0" borderId="0" xfId="15" applyNumberFormat="1" applyFont="1" applyBorder="1" applyAlignment="1">
      <alignment horizontal="justify" vertical="top"/>
    </xf>
    <xf numFmtId="164" fontId="15" fillId="0" borderId="0" xfId="16" applyFont="1" applyBorder="1" applyAlignment="1">
      <alignment horizontal="justify" vertical="top"/>
    </xf>
    <xf numFmtId="0" fontId="11" fillId="0" borderId="12" xfId="15" applyFont="1" applyFill="1" applyBorder="1" applyAlignment="1">
      <alignment horizontal="justify" vertical="top"/>
    </xf>
    <xf numFmtId="0" fontId="11" fillId="0" borderId="0" xfId="15" applyFont="1" applyFill="1" applyBorder="1" applyAlignment="1">
      <alignment horizontal="justify" vertical="top"/>
    </xf>
    <xf numFmtId="4" fontId="15" fillId="0" borderId="55" xfId="15" applyNumberFormat="1" applyFont="1" applyBorder="1" applyAlignment="1">
      <alignment horizontal="center" vertical="center"/>
    </xf>
    <xf numFmtId="4" fontId="16" fillId="0" borderId="55" xfId="15" applyNumberFormat="1" applyFont="1" applyFill="1" applyBorder="1" applyAlignment="1">
      <alignment horizontal="justify" vertical="center" wrapText="1"/>
    </xf>
    <xf numFmtId="4" fontId="19" fillId="0" borderId="55" xfId="15" applyNumberFormat="1" applyFont="1" applyFill="1" applyBorder="1" applyAlignment="1">
      <alignment horizontal="right" vertical="center" wrapText="1"/>
    </xf>
    <xf numFmtId="4" fontId="15" fillId="0" borderId="55" xfId="15" applyNumberFormat="1" applyFont="1" applyFill="1" applyBorder="1" applyAlignment="1">
      <alignment horizontal="center" vertical="top"/>
    </xf>
    <xf numFmtId="164" fontId="15" fillId="0" borderId="56" xfId="16" applyFont="1" applyFill="1" applyBorder="1" applyAlignment="1">
      <alignment horizontal="right" vertical="top"/>
    </xf>
    <xf numFmtId="4" fontId="16" fillId="0" borderId="55" xfId="15" applyNumberFormat="1" applyFont="1" applyFill="1" applyBorder="1" applyAlignment="1">
      <alignment horizontal="right" vertical="top"/>
    </xf>
    <xf numFmtId="4" fontId="15" fillId="0" borderId="32" xfId="15" applyNumberFormat="1" applyFont="1" applyBorder="1" applyAlignment="1">
      <alignment horizontal="center" vertical="center"/>
    </xf>
    <xf numFmtId="4" fontId="18" fillId="0" borderId="41" xfId="15" applyNumberFormat="1" applyFont="1" applyFill="1" applyBorder="1" applyAlignment="1">
      <alignment horizontal="justify" vertical="center" wrapText="1"/>
    </xf>
    <xf numFmtId="4" fontId="18" fillId="0" borderId="41" xfId="15" applyNumberFormat="1" applyFont="1" applyFill="1" applyBorder="1" applyAlignment="1">
      <alignment horizontal="right" vertical="center" wrapText="1"/>
    </xf>
    <xf numFmtId="4" fontId="15" fillId="0" borderId="32" xfId="15" applyNumberFormat="1" applyFont="1" applyFill="1" applyBorder="1" applyAlignment="1">
      <alignment horizontal="center" vertical="top"/>
    </xf>
    <xf numFmtId="164" fontId="15" fillId="0" borderId="41" xfId="16" applyFont="1" applyFill="1" applyBorder="1" applyAlignment="1">
      <alignment horizontal="right" vertical="top"/>
    </xf>
    <xf numFmtId="4" fontId="15" fillId="0" borderId="41" xfId="15" applyNumberFormat="1" applyFont="1" applyFill="1" applyBorder="1" applyAlignment="1">
      <alignment horizontal="right" vertical="top"/>
    </xf>
    <xf numFmtId="4" fontId="15" fillId="0" borderId="13" xfId="15" applyNumberFormat="1" applyFont="1" applyBorder="1" applyAlignment="1">
      <alignment horizontal="center" vertical="top"/>
    </xf>
    <xf numFmtId="4" fontId="15" fillId="0" borderId="24" xfId="15" applyNumberFormat="1" applyFont="1" applyFill="1" applyBorder="1" applyAlignment="1">
      <alignment horizontal="justify" vertical="top" wrapText="1"/>
    </xf>
    <xf numFmtId="4" fontId="15" fillId="0" borderId="24" xfId="15" applyNumberFormat="1" applyFont="1" applyFill="1" applyBorder="1" applyAlignment="1">
      <alignment horizontal="right" vertical="top" wrapText="1"/>
    </xf>
    <xf numFmtId="4" fontId="15" fillId="0" borderId="13" xfId="15" applyNumberFormat="1" applyFont="1" applyFill="1" applyBorder="1" applyAlignment="1">
      <alignment horizontal="center" vertical="top"/>
    </xf>
    <xf numFmtId="164" fontId="15" fillId="0" borderId="24" xfId="16" applyFont="1" applyFill="1" applyBorder="1" applyAlignment="1">
      <alignment horizontal="right" vertical="top"/>
    </xf>
    <xf numFmtId="4" fontId="15" fillId="0" borderId="24" xfId="15" applyNumberFormat="1" applyFont="1" applyFill="1" applyBorder="1" applyAlignment="1">
      <alignment horizontal="right" vertical="top"/>
    </xf>
    <xf numFmtId="0" fontId="26" fillId="0" borderId="13" xfId="15" applyFont="1" applyBorder="1" applyAlignment="1">
      <alignment vertical="center"/>
    </xf>
    <xf numFmtId="0" fontId="24" fillId="0" borderId="24" xfId="15" applyFont="1" applyFill="1" applyBorder="1" applyAlignment="1">
      <alignment horizontal="justify" vertical="center"/>
    </xf>
    <xf numFmtId="0" fontId="13" fillId="0" borderId="24" xfId="15" applyFont="1" applyBorder="1"/>
    <xf numFmtId="0" fontId="13" fillId="0" borderId="13" xfId="15" applyFont="1" applyBorder="1"/>
    <xf numFmtId="164" fontId="13" fillId="0" borderId="24" xfId="16" applyFont="1" applyBorder="1"/>
    <xf numFmtId="0" fontId="12" fillId="0" borderId="0" xfId="15"/>
    <xf numFmtId="164" fontId="0" fillId="0" borderId="0" xfId="16" applyFont="1"/>
    <xf numFmtId="0" fontId="13" fillId="0" borderId="24" xfId="15" applyFont="1" applyFill="1" applyBorder="1" applyAlignment="1">
      <alignment horizontal="justify" vertical="top"/>
    </xf>
    <xf numFmtId="0" fontId="27" fillId="0" borderId="13" xfId="15" applyFont="1" applyBorder="1" applyAlignment="1">
      <alignment horizontal="center" vertical="center"/>
    </xf>
    <xf numFmtId="165" fontId="13" fillId="0" borderId="24" xfId="15" applyNumberFormat="1" applyFont="1" applyBorder="1" applyAlignment="1">
      <alignment horizontal="center"/>
    </xf>
    <xf numFmtId="0" fontId="13" fillId="0" borderId="13" xfId="15" applyFont="1" applyBorder="1" applyAlignment="1">
      <alignment horizontal="center"/>
    </xf>
    <xf numFmtId="164" fontId="23" fillId="0" borderId="42" xfId="15" applyNumberFormat="1" applyFont="1" applyBorder="1"/>
    <xf numFmtId="0" fontId="23" fillId="0" borderId="13" xfId="15" applyFont="1" applyBorder="1" applyAlignment="1">
      <alignment horizontal="center"/>
    </xf>
    <xf numFmtId="0" fontId="24" fillId="0" borderId="24" xfId="15" applyFont="1" applyFill="1" applyBorder="1" applyAlignment="1">
      <alignment horizontal="justify" vertical="top"/>
    </xf>
    <xf numFmtId="0" fontId="13" fillId="0" borderId="24" xfId="15" applyFont="1" applyFill="1" applyBorder="1" applyAlignment="1">
      <alignment horizontal="justify" vertical="center"/>
    </xf>
    <xf numFmtId="165" fontId="13" fillId="0" borderId="24" xfId="15" applyNumberFormat="1" applyFont="1" applyBorder="1"/>
    <xf numFmtId="164" fontId="13" fillId="0" borderId="24" xfId="16" applyFont="1" applyBorder="1" applyAlignment="1">
      <alignment horizontal="right"/>
    </xf>
    <xf numFmtId="0" fontId="13" fillId="0" borderId="13" xfId="15" applyFont="1" applyBorder="1" applyAlignment="1">
      <alignment horizontal="center" vertical="center"/>
    </xf>
    <xf numFmtId="4" fontId="15" fillId="0" borderId="57" xfId="15" applyNumberFormat="1" applyFont="1" applyBorder="1" applyAlignment="1">
      <alignment horizontal="center" vertical="top"/>
    </xf>
    <xf numFmtId="4" fontId="15" fillId="0" borderId="64" xfId="15" applyNumberFormat="1" applyFont="1" applyFill="1" applyBorder="1" applyAlignment="1">
      <alignment horizontal="justify" vertical="top" wrapText="1"/>
    </xf>
    <xf numFmtId="4" fontId="15" fillId="0" borderId="64" xfId="15" applyNumberFormat="1" applyFont="1" applyFill="1" applyBorder="1" applyAlignment="1">
      <alignment horizontal="right" vertical="top" wrapText="1"/>
    </xf>
    <xf numFmtId="4" fontId="15" fillId="0" borderId="57" xfId="15" applyNumberFormat="1" applyFont="1" applyFill="1" applyBorder="1" applyAlignment="1">
      <alignment horizontal="center" vertical="top"/>
    </xf>
    <xf numFmtId="164" fontId="15" fillId="0" borderId="64" xfId="16" applyFont="1" applyFill="1" applyBorder="1" applyAlignment="1">
      <alignment horizontal="right" vertical="top"/>
    </xf>
    <xf numFmtId="4" fontId="16" fillId="0" borderId="42" xfId="15" applyNumberFormat="1" applyFont="1" applyFill="1" applyBorder="1" applyAlignment="1">
      <alignment horizontal="right" vertical="top"/>
    </xf>
    <xf numFmtId="4" fontId="15" fillId="0" borderId="59" xfId="15" applyNumberFormat="1" applyFont="1" applyBorder="1" applyAlignment="1">
      <alignment horizontal="center" vertical="top"/>
    </xf>
    <xf numFmtId="4" fontId="15" fillId="0" borderId="65" xfId="15" applyNumberFormat="1" applyFont="1" applyFill="1" applyBorder="1" applyAlignment="1">
      <alignment horizontal="justify" vertical="top" wrapText="1"/>
    </xf>
    <xf numFmtId="4" fontId="15" fillId="0" borderId="65" xfId="15" applyNumberFormat="1" applyFont="1" applyFill="1" applyBorder="1" applyAlignment="1">
      <alignment horizontal="right" vertical="top" wrapText="1"/>
    </xf>
    <xf numFmtId="4" fontId="15" fillId="0" borderId="59" xfId="15" applyNumberFormat="1" applyFont="1" applyFill="1" applyBorder="1" applyAlignment="1">
      <alignment horizontal="center" vertical="top"/>
    </xf>
    <xf numFmtId="164" fontId="15" fillId="0" borderId="65" xfId="16" applyFont="1" applyFill="1" applyBorder="1" applyAlignment="1">
      <alignment horizontal="right" vertical="top"/>
    </xf>
    <xf numFmtId="4" fontId="15" fillId="0" borderId="64" xfId="15" applyNumberFormat="1" applyFont="1" applyFill="1" applyBorder="1" applyAlignment="1">
      <alignment horizontal="right" vertical="top"/>
    </xf>
    <xf numFmtId="4" fontId="15" fillId="0" borderId="62" xfId="15" applyNumberFormat="1" applyFont="1" applyBorder="1" applyAlignment="1">
      <alignment horizontal="center" vertical="top"/>
    </xf>
    <xf numFmtId="4" fontId="15" fillId="0" borderId="63" xfId="15" applyNumberFormat="1" applyFont="1" applyFill="1" applyBorder="1" applyAlignment="1">
      <alignment horizontal="justify" vertical="top" wrapText="1"/>
    </xf>
    <xf numFmtId="4" fontId="15" fillId="0" borderId="66" xfId="15" applyNumberFormat="1" applyFont="1" applyFill="1" applyBorder="1" applyAlignment="1">
      <alignment horizontal="right" vertical="top" wrapText="1"/>
    </xf>
    <xf numFmtId="4" fontId="15" fillId="0" borderId="67" xfId="15" applyNumberFormat="1" applyFont="1" applyFill="1" applyBorder="1" applyAlignment="1">
      <alignment horizontal="center" vertical="top"/>
    </xf>
    <xf numFmtId="164" fontId="15" fillId="0" borderId="66" xfId="16" applyFont="1" applyFill="1" applyBorder="1" applyAlignment="1">
      <alignment horizontal="right" vertical="top"/>
    </xf>
    <xf numFmtId="4" fontId="15" fillId="0" borderId="66" xfId="15" applyNumberFormat="1" applyFont="1" applyFill="1" applyBorder="1" applyAlignment="1">
      <alignment horizontal="right" vertical="top"/>
    </xf>
    <xf numFmtId="4" fontId="15" fillId="0" borderId="47" xfId="15" applyNumberFormat="1" applyFont="1" applyBorder="1" applyAlignment="1">
      <alignment horizontal="center" vertical="top"/>
    </xf>
    <xf numFmtId="4" fontId="15" fillId="0" borderId="60" xfId="15" applyNumberFormat="1" applyFont="1" applyFill="1" applyBorder="1" applyAlignment="1">
      <alignment horizontal="justify" vertical="top" wrapText="1"/>
    </xf>
    <xf numFmtId="4" fontId="15" fillId="0" borderId="61" xfId="15" applyNumberFormat="1" applyFont="1" applyFill="1" applyBorder="1" applyAlignment="1">
      <alignment horizontal="justify" vertical="top" wrapText="1"/>
    </xf>
    <xf numFmtId="4" fontId="15" fillId="0" borderId="65" xfId="15" applyNumberFormat="1" applyFont="1" applyFill="1" applyBorder="1" applyAlignment="1">
      <alignment horizontal="right" vertical="top"/>
    </xf>
    <xf numFmtId="4" fontId="15" fillId="0" borderId="58" xfId="15" applyNumberFormat="1" applyFont="1" applyFill="1" applyBorder="1" applyAlignment="1">
      <alignment horizontal="center" vertical="top"/>
    </xf>
    <xf numFmtId="164" fontId="15" fillId="0" borderId="61" xfId="16" applyFont="1" applyFill="1" applyBorder="1" applyAlignment="1">
      <alignment horizontal="right" vertical="top"/>
    </xf>
    <xf numFmtId="4" fontId="15" fillId="0" borderId="61" xfId="15" applyNumberFormat="1" applyFont="1" applyFill="1" applyBorder="1" applyAlignment="1">
      <alignment horizontal="right" vertical="top"/>
    </xf>
    <xf numFmtId="4" fontId="15" fillId="0" borderId="61" xfId="15" applyNumberFormat="1" applyFont="1" applyFill="1" applyBorder="1" applyAlignment="1">
      <alignment horizontal="right" vertical="top" wrapText="1"/>
    </xf>
    <xf numFmtId="0" fontId="15" fillId="0" borderId="5" xfId="15" applyFont="1" applyBorder="1" applyAlignment="1">
      <alignment wrapText="1"/>
    </xf>
    <xf numFmtId="0" fontId="15" fillId="0" borderId="0" xfId="15" applyFont="1"/>
    <xf numFmtId="0" fontId="15" fillId="0" borderId="12" xfId="15" applyFont="1" applyBorder="1" applyAlignment="1">
      <alignment horizontal="justify" vertical="top"/>
    </xf>
    <xf numFmtId="4" fontId="19" fillId="0" borderId="16" xfId="15" applyNumberFormat="1" applyFont="1" applyFill="1" applyBorder="1" applyAlignment="1">
      <alignment horizontal="right" vertical="center" wrapText="1"/>
    </xf>
    <xf numFmtId="4" fontId="15" fillId="0" borderId="46" xfId="15" applyNumberFormat="1" applyFont="1" applyFill="1" applyBorder="1" applyAlignment="1">
      <alignment horizontal="center" vertical="top"/>
    </xf>
    <xf numFmtId="4" fontId="19" fillId="0" borderId="49" xfId="15" applyNumberFormat="1" applyFont="1" applyFill="1" applyBorder="1" applyAlignment="1">
      <alignment horizontal="justify" vertical="top" wrapText="1"/>
    </xf>
    <xf numFmtId="4" fontId="15" fillId="0" borderId="0" xfId="15" applyNumberFormat="1" applyFont="1" applyBorder="1" applyAlignment="1">
      <alignment horizontal="center" vertical="top"/>
    </xf>
    <xf numFmtId="4" fontId="15" fillId="0" borderId="0" xfId="15" applyNumberFormat="1" applyFont="1" applyBorder="1" applyAlignment="1">
      <alignment horizontal="right" vertical="top"/>
    </xf>
    <xf numFmtId="164" fontId="15" fillId="0" borderId="0" xfId="16" applyFont="1" applyBorder="1" applyAlignment="1">
      <alignment horizontal="right" vertical="top"/>
    </xf>
    <xf numFmtId="4" fontId="13" fillId="0" borderId="0" xfId="15" applyNumberFormat="1" applyFont="1" applyBorder="1" applyAlignment="1">
      <alignment vertical="top"/>
    </xf>
    <xf numFmtId="164" fontId="13" fillId="0" borderId="0" xfId="16" applyFont="1" applyBorder="1" applyAlignment="1">
      <alignment vertical="top"/>
    </xf>
    <xf numFmtId="2" fontId="24" fillId="0" borderId="4" xfId="15" applyNumberFormat="1" applyFont="1" applyFill="1" applyBorder="1" applyAlignment="1">
      <alignment horizontal="center"/>
    </xf>
    <xf numFmtId="2" fontId="24" fillId="0" borderId="0" xfId="15" applyNumberFormat="1" applyFont="1" applyFill="1" applyBorder="1" applyAlignment="1">
      <alignment horizontal="center"/>
    </xf>
    <xf numFmtId="164" fontId="24" fillId="0" borderId="0" xfId="16" applyFont="1" applyFill="1" applyBorder="1" applyAlignment="1">
      <alignment horizontal="center"/>
    </xf>
    <xf numFmtId="2" fontId="24" fillId="0" borderId="5" xfId="15" applyNumberFormat="1" applyFont="1" applyFill="1" applyBorder="1" applyAlignment="1">
      <alignment horizontal="center"/>
    </xf>
    <xf numFmtId="2" fontId="23" fillId="0" borderId="6" xfId="15" applyNumberFormat="1" applyFont="1" applyFill="1" applyBorder="1" applyAlignment="1">
      <alignment horizontal="center" vertical="top"/>
    </xf>
    <xf numFmtId="2" fontId="23" fillId="0" borderId="7" xfId="15" applyNumberFormat="1" applyFont="1" applyFill="1" applyBorder="1" applyAlignment="1">
      <alignment horizontal="center"/>
    </xf>
    <xf numFmtId="2" fontId="23" fillId="0" borderId="8" xfId="15" applyNumberFormat="1" applyFont="1" applyFill="1" applyBorder="1" applyAlignment="1">
      <alignment horizontal="center"/>
    </xf>
    <xf numFmtId="0" fontId="23" fillId="0" borderId="9" xfId="15" applyFont="1" applyFill="1" applyBorder="1" applyAlignment="1">
      <alignment horizontal="center"/>
    </xf>
    <xf numFmtId="164" fontId="23" fillId="0" borderId="8" xfId="16" applyFont="1" applyFill="1" applyBorder="1" applyAlignment="1">
      <alignment horizontal="center"/>
    </xf>
    <xf numFmtId="2" fontId="23" fillId="0" borderId="11" xfId="15" applyNumberFormat="1" applyFont="1" applyFill="1" applyBorder="1" applyAlignment="1">
      <alignment horizontal="center" vertical="top"/>
    </xf>
    <xf numFmtId="2" fontId="23" fillId="0" borderId="0" xfId="15" applyNumberFormat="1" applyFont="1" applyFill="1" applyBorder="1" applyAlignment="1">
      <alignment horizontal="center"/>
    </xf>
    <xf numFmtId="2" fontId="23" fillId="0" borderId="13" xfId="15" applyNumberFormat="1" applyFont="1" applyFill="1" applyBorder="1" applyAlignment="1">
      <alignment horizontal="center"/>
    </xf>
    <xf numFmtId="0" fontId="23" fillId="0" borderId="0" xfId="15" applyFont="1" applyFill="1" applyBorder="1" applyAlignment="1">
      <alignment horizontal="center"/>
    </xf>
    <xf numFmtId="164" fontId="23" fillId="0" borderId="13" xfId="16" applyFont="1" applyFill="1" applyBorder="1" applyAlignment="1">
      <alignment horizontal="center"/>
    </xf>
    <xf numFmtId="0" fontId="13" fillId="0" borderId="11" xfId="15" applyFont="1" applyFill="1" applyBorder="1" applyAlignment="1">
      <alignment horizontal="center" vertical="top"/>
    </xf>
    <xf numFmtId="2" fontId="13" fillId="0" borderId="0" xfId="15" applyNumberFormat="1" applyFont="1" applyFill="1" applyBorder="1"/>
    <xf numFmtId="2" fontId="13" fillId="0" borderId="0" xfId="15" applyNumberFormat="1" applyFont="1" applyFill="1" applyBorder="1" applyAlignment="1">
      <alignment horizontal="center" wrapText="1"/>
    </xf>
    <xf numFmtId="164" fontId="13" fillId="0" borderId="13" xfId="16" applyFont="1" applyFill="1" applyBorder="1" applyAlignment="1">
      <alignment horizontal="right" wrapText="1"/>
    </xf>
    <xf numFmtId="0" fontId="13" fillId="0" borderId="11" xfId="15" applyFont="1" applyFill="1" applyBorder="1" applyAlignment="1">
      <alignment horizontal="center" vertical="center"/>
    </xf>
    <xf numFmtId="2" fontId="13" fillId="0" borderId="0" xfId="15" applyNumberFormat="1" applyFont="1" applyFill="1" applyBorder="1" applyAlignment="1">
      <alignment vertical="center"/>
    </xf>
    <xf numFmtId="2" fontId="13" fillId="0" borderId="0" xfId="15" applyNumberFormat="1" applyFont="1" applyFill="1" applyBorder="1" applyAlignment="1">
      <alignment horizontal="center" vertical="center" wrapText="1"/>
    </xf>
    <xf numFmtId="164" fontId="13" fillId="0" borderId="13" xfId="16" applyFont="1" applyFill="1" applyBorder="1" applyAlignment="1">
      <alignment horizontal="right" vertical="center" wrapText="1"/>
    </xf>
    <xf numFmtId="0" fontId="13" fillId="0" borderId="6" xfId="15" applyFont="1" applyFill="1" applyBorder="1" applyAlignment="1">
      <alignment horizontal="center" vertical="center"/>
    </xf>
    <xf numFmtId="2" fontId="23" fillId="0" borderId="44" xfId="15" applyNumberFormat="1" applyFont="1" applyFill="1" applyBorder="1" applyAlignment="1">
      <alignment vertical="center"/>
    </xf>
    <xf numFmtId="2" fontId="23" fillId="0" borderId="44" xfId="15" applyNumberFormat="1" applyFont="1" applyFill="1" applyBorder="1" applyAlignment="1">
      <alignment horizontal="center" vertical="center" wrapText="1"/>
    </xf>
    <xf numFmtId="164" fontId="23" fillId="0" borderId="8" xfId="16" applyFont="1" applyFill="1" applyBorder="1" applyAlignment="1">
      <alignment horizontal="right" vertical="center" wrapText="1"/>
    </xf>
    <xf numFmtId="0" fontId="13" fillId="0" borderId="0" xfId="15" applyFont="1" applyBorder="1" applyAlignment="1">
      <alignment horizontal="center" vertical="top"/>
    </xf>
    <xf numFmtId="0" fontId="13" fillId="0" borderId="0" xfId="15" applyFont="1" applyBorder="1" applyAlignment="1">
      <alignment horizontal="justify"/>
    </xf>
    <xf numFmtId="2" fontId="13" fillId="0" borderId="0" xfId="15" applyNumberFormat="1" applyFont="1" applyBorder="1" applyAlignment="1">
      <alignment horizontal="center"/>
    </xf>
    <xf numFmtId="0" fontId="13" fillId="0" borderId="0" xfId="15" applyFont="1" applyBorder="1" applyAlignment="1">
      <alignment horizontal="center"/>
    </xf>
    <xf numFmtId="164" fontId="13" fillId="0" borderId="0" xfId="16" applyFont="1" applyBorder="1" applyAlignment="1">
      <alignment horizontal="center"/>
    </xf>
    <xf numFmtId="0" fontId="16" fillId="0" borderId="36" xfId="15" applyFont="1" applyFill="1" applyBorder="1" applyAlignment="1">
      <alignment horizontal="center" vertical="top"/>
    </xf>
    <xf numFmtId="2" fontId="19" fillId="0" borderId="2" xfId="15" applyNumberFormat="1" applyFont="1" applyFill="1" applyBorder="1"/>
    <xf numFmtId="2" fontId="15" fillId="0" borderId="2" xfId="15" applyNumberFormat="1" applyFont="1" applyFill="1" applyBorder="1" applyAlignment="1">
      <alignment horizontal="center" wrapText="1"/>
    </xf>
    <xf numFmtId="164" fontId="15" fillId="0" borderId="37" xfId="16" applyFont="1" applyFill="1" applyBorder="1" applyAlignment="1"/>
    <xf numFmtId="2" fontId="19" fillId="0" borderId="0" xfId="15" applyNumberFormat="1" applyFont="1" applyFill="1" applyBorder="1"/>
    <xf numFmtId="2" fontId="15" fillId="0" borderId="0" xfId="15" applyNumberFormat="1" applyFont="1" applyFill="1" applyBorder="1" applyAlignment="1">
      <alignment horizontal="center" wrapText="1"/>
    </xf>
    <xf numFmtId="164" fontId="15" fillId="0" borderId="13" xfId="16" applyFont="1" applyFill="1" applyBorder="1" applyAlignment="1"/>
    <xf numFmtId="2" fontId="15" fillId="0" borderId="12" xfId="15" applyNumberFormat="1" applyFont="1" applyFill="1" applyBorder="1" applyAlignment="1">
      <alignment horizontal="left" wrapText="1"/>
    </xf>
    <xf numFmtId="2" fontId="15" fillId="0" borderId="12" xfId="15" applyNumberFormat="1" applyFont="1" applyFill="1" applyBorder="1" applyAlignment="1">
      <alignment horizontal="center" vertical="top" wrapText="1"/>
    </xf>
    <xf numFmtId="164" fontId="15" fillId="0" borderId="12" xfId="16" applyFont="1" applyFill="1" applyBorder="1" applyAlignment="1">
      <alignment horizontal="center" vertical="top"/>
    </xf>
    <xf numFmtId="2" fontId="15" fillId="0" borderId="12" xfId="15" applyNumberFormat="1" applyFont="1" applyFill="1" applyBorder="1"/>
    <xf numFmtId="2" fontId="15" fillId="0" borderId="12" xfId="15" applyNumberFormat="1" applyFont="1" applyFill="1" applyBorder="1" applyAlignment="1">
      <alignment horizontal="center" wrapText="1"/>
    </xf>
    <xf numFmtId="164" fontId="15" fillId="0" borderId="33" xfId="16" applyFont="1" applyFill="1" applyBorder="1" applyAlignment="1">
      <alignment horizontal="center"/>
    </xf>
    <xf numFmtId="2" fontId="15" fillId="0" borderId="0" xfId="15" applyNumberFormat="1" applyFont="1" applyFill="1" applyBorder="1"/>
    <xf numFmtId="164" fontId="15" fillId="0" borderId="13" xfId="16" applyFont="1" applyFill="1" applyBorder="1" applyAlignment="1">
      <alignment horizontal="right" wrapText="1"/>
    </xf>
    <xf numFmtId="2" fontId="16" fillId="0" borderId="19" xfId="15" applyNumberFormat="1" applyFont="1" applyFill="1" applyBorder="1"/>
    <xf numFmtId="2" fontId="16" fillId="0" borderId="19" xfId="15" applyNumberFormat="1" applyFont="1" applyFill="1" applyBorder="1" applyAlignment="1">
      <alignment horizontal="center" wrapText="1"/>
    </xf>
    <xf numFmtId="164" fontId="16" fillId="0" borderId="19" xfId="16" applyFont="1" applyFill="1" applyBorder="1" applyAlignment="1">
      <alignment horizontal="right" wrapText="1"/>
    </xf>
    <xf numFmtId="0" fontId="15" fillId="0" borderId="0" xfId="15" applyFont="1" applyBorder="1" applyAlignment="1">
      <alignment horizontal="center" vertical="top"/>
    </xf>
    <xf numFmtId="0" fontId="15" fillId="0" borderId="0" xfId="15" applyFont="1" applyBorder="1" applyAlignment="1">
      <alignment horizontal="justify"/>
    </xf>
    <xf numFmtId="2" fontId="15" fillId="0" borderId="0" xfId="15" applyNumberFormat="1" applyFont="1" applyBorder="1" applyAlignment="1">
      <alignment horizontal="center"/>
    </xf>
    <xf numFmtId="0" fontId="15" fillId="0" borderId="0" xfId="15" applyFont="1" applyBorder="1" applyAlignment="1">
      <alignment horizontal="center"/>
    </xf>
    <xf numFmtId="164" fontId="15" fillId="0" borderId="0" xfId="16" applyFont="1" applyBorder="1" applyAlignment="1">
      <alignment horizontal="center"/>
    </xf>
    <xf numFmtId="0" fontId="13" fillId="0" borderId="27" xfId="15" applyFont="1" applyFill="1" applyBorder="1" applyAlignment="1">
      <alignment horizontal="center" vertical="top"/>
    </xf>
    <xf numFmtId="2" fontId="13" fillId="0" borderId="35" xfId="15" applyNumberFormat="1" applyFont="1" applyFill="1" applyBorder="1"/>
    <xf numFmtId="2" fontId="13" fillId="0" borderId="35" xfId="15" applyNumberFormat="1" applyFont="1" applyFill="1" applyBorder="1" applyAlignment="1">
      <alignment horizontal="center" wrapText="1"/>
    </xf>
    <xf numFmtId="164" fontId="13" fillId="0" borderId="29" xfId="16" applyFont="1" applyFill="1" applyBorder="1" applyAlignment="1">
      <alignment horizontal="right" wrapText="1"/>
    </xf>
    <xf numFmtId="0" fontId="13" fillId="0" borderId="24" xfId="15" applyFont="1" applyBorder="1" applyAlignment="1">
      <alignment horizontal="justify" vertical="center"/>
    </xf>
    <xf numFmtId="0" fontId="13" fillId="0" borderId="11" xfId="15" applyFont="1" applyFill="1" applyBorder="1" applyAlignment="1">
      <alignment horizontal="center" vertical="center" wrapText="1"/>
    </xf>
    <xf numFmtId="0" fontId="13" fillId="0" borderId="0" xfId="15" applyFont="1" applyBorder="1" applyAlignment="1">
      <alignment horizontal="right" vertical="center"/>
    </xf>
    <xf numFmtId="0" fontId="13" fillId="0" borderId="0" xfId="15" applyFont="1" applyBorder="1" applyAlignment="1">
      <alignment horizontal="justify" vertical="center"/>
    </xf>
    <xf numFmtId="0" fontId="13" fillId="0" borderId="11" xfId="15" applyFont="1" applyFill="1" applyBorder="1" applyAlignment="1">
      <alignment horizontal="center" vertical="top" wrapText="1"/>
    </xf>
    <xf numFmtId="2" fontId="23" fillId="0" borderId="0" xfId="15" applyNumberFormat="1" applyFont="1" applyFill="1" applyBorder="1" applyAlignment="1">
      <alignment horizontal="right" wrapText="1"/>
    </xf>
    <xf numFmtId="0" fontId="13" fillId="0" borderId="27" xfId="15" applyFont="1" applyFill="1" applyBorder="1" applyAlignment="1">
      <alignment horizontal="center" vertical="top" wrapText="1"/>
    </xf>
    <xf numFmtId="0" fontId="13" fillId="0" borderId="35" xfId="15" applyFont="1" applyBorder="1" applyAlignment="1">
      <alignment horizontal="justify"/>
    </xf>
    <xf numFmtId="0" fontId="13" fillId="0" borderId="40" xfId="15" applyFont="1" applyBorder="1" applyAlignment="1">
      <alignment horizontal="center"/>
    </xf>
    <xf numFmtId="4" fontId="13" fillId="0" borderId="0" xfId="15" applyNumberFormat="1" applyFont="1" applyBorder="1" applyAlignment="1">
      <alignment horizontal="center" vertical="top"/>
    </xf>
    <xf numFmtId="4" fontId="13" fillId="0" borderId="0" xfId="15" applyNumberFormat="1" applyFont="1" applyBorder="1" applyAlignment="1">
      <alignment horizontal="justify" vertical="top"/>
    </xf>
    <xf numFmtId="4" fontId="13" fillId="0" borderId="0" xfId="15" applyNumberFormat="1" applyFont="1" applyBorder="1" applyAlignment="1">
      <alignment horizontal="right" vertical="top"/>
    </xf>
    <xf numFmtId="164" fontId="13" fillId="0" borderId="0" xfId="16" applyFont="1" applyBorder="1" applyAlignment="1">
      <alignment horizontal="right" vertical="top"/>
    </xf>
    <xf numFmtId="4" fontId="15" fillId="0" borderId="0" xfId="0" applyNumberFormat="1" applyFont="1" applyBorder="1" applyAlignment="1">
      <alignment horizontal="center" vertical="center"/>
    </xf>
    <xf numFmtId="164" fontId="15" fillId="0" borderId="0" xfId="1" applyFont="1" applyBorder="1" applyAlignment="1">
      <alignment horizontal="center" vertical="center"/>
    </xf>
    <xf numFmtId="164" fontId="13" fillId="3" borderId="20" xfId="2" applyFont="1" applyFill="1" applyBorder="1" applyAlignment="1">
      <alignment horizontal="center" vertical="center" wrapText="1"/>
    </xf>
    <xf numFmtId="0" fontId="23" fillId="3" borderId="70" xfId="15" applyFont="1" applyFill="1" applyBorder="1" applyAlignment="1">
      <alignment horizontal="center" vertical="center" wrapText="1"/>
    </xf>
    <xf numFmtId="164" fontId="23" fillId="3" borderId="70" xfId="2" applyFont="1" applyFill="1" applyBorder="1" applyAlignment="1">
      <alignment horizontal="center" vertical="center" wrapText="1"/>
    </xf>
    <xf numFmtId="0" fontId="23" fillId="3" borderId="70" xfId="15" applyFont="1" applyFill="1" applyBorder="1" applyAlignment="1">
      <alignment horizontal="center" vertical="center"/>
    </xf>
    <xf numFmtId="4" fontId="23" fillId="3" borderId="70" xfId="2" applyNumberFormat="1" applyFont="1" applyFill="1" applyBorder="1" applyAlignment="1">
      <alignment horizontal="center" vertical="center"/>
    </xf>
    <xf numFmtId="4" fontId="23" fillId="3" borderId="18" xfId="2" applyNumberFormat="1" applyFont="1" applyFill="1" applyBorder="1" applyAlignment="1">
      <alignment horizontal="center" vertical="center"/>
    </xf>
    <xf numFmtId="4" fontId="37" fillId="3" borderId="0" xfId="2" applyNumberFormat="1" applyFont="1" applyFill="1" applyBorder="1" applyAlignment="1">
      <alignment horizontal="center" vertical="center"/>
    </xf>
    <xf numFmtId="166" fontId="13" fillId="3" borderId="0" xfId="2" applyNumberFormat="1" applyFont="1" applyFill="1" applyBorder="1" applyAlignment="1">
      <alignment vertical="center"/>
    </xf>
    <xf numFmtId="0" fontId="13" fillId="3" borderId="0" xfId="15" applyFont="1" applyFill="1" applyBorder="1" applyAlignment="1">
      <alignment vertical="center"/>
    </xf>
    <xf numFmtId="0" fontId="13" fillId="3" borderId="0" xfId="15" applyFont="1" applyFill="1" applyAlignment="1">
      <alignment vertical="center"/>
    </xf>
    <xf numFmtId="164" fontId="13" fillId="3" borderId="13" xfId="2" applyFont="1" applyFill="1" applyBorder="1" applyAlignment="1">
      <alignment vertical="center"/>
    </xf>
    <xf numFmtId="164" fontId="32" fillId="3" borderId="13" xfId="2" applyFont="1" applyFill="1" applyBorder="1" applyAlignment="1">
      <alignment vertical="top"/>
    </xf>
    <xf numFmtId="164" fontId="38" fillId="3" borderId="0" xfId="2" applyFont="1" applyFill="1" applyBorder="1" applyAlignment="1">
      <alignment vertical="center"/>
    </xf>
    <xf numFmtId="0" fontId="13" fillId="3" borderId="0" xfId="18" applyFont="1" applyFill="1" applyBorder="1" applyAlignment="1">
      <alignment vertical="center"/>
    </xf>
    <xf numFmtId="0" fontId="13" fillId="3" borderId="0" xfId="18" applyFont="1" applyFill="1" applyAlignment="1">
      <alignment vertical="center"/>
    </xf>
    <xf numFmtId="0" fontId="24" fillId="3" borderId="13" xfId="18" applyFont="1" applyFill="1" applyBorder="1" applyAlignment="1" applyProtection="1">
      <alignment horizontal="left" vertical="center"/>
    </xf>
    <xf numFmtId="164" fontId="31" fillId="3" borderId="13" xfId="2" applyFont="1" applyFill="1" applyBorder="1" applyAlignment="1">
      <alignment vertical="top"/>
    </xf>
    <xf numFmtId="0" fontId="13" fillId="3" borderId="13" xfId="18" applyFont="1" applyFill="1" applyBorder="1" applyAlignment="1">
      <alignment horizontal="center" vertical="center"/>
    </xf>
    <xf numFmtId="164" fontId="13" fillId="3" borderId="13" xfId="2" applyFont="1" applyFill="1" applyBorder="1" applyAlignment="1" applyProtection="1">
      <alignment horizontal="center" vertical="center"/>
    </xf>
    <xf numFmtId="164" fontId="32" fillId="3" borderId="26" xfId="2" applyFont="1" applyFill="1" applyBorder="1" applyAlignment="1">
      <alignment vertical="top"/>
    </xf>
    <xf numFmtId="164" fontId="31" fillId="3" borderId="12" xfId="2" applyFont="1" applyFill="1" applyBorder="1" applyAlignment="1">
      <alignment horizontal="right"/>
    </xf>
    <xf numFmtId="0" fontId="24" fillId="3" borderId="13" xfId="15" applyFont="1" applyFill="1" applyBorder="1" applyAlignment="1">
      <alignment vertical="center" wrapText="1"/>
    </xf>
    <xf numFmtId="164" fontId="13" fillId="3" borderId="13" xfId="2" applyFont="1" applyFill="1" applyBorder="1" applyAlignment="1">
      <alignment horizontal="center" vertical="center"/>
    </xf>
    <xf numFmtId="0" fontId="39" fillId="3" borderId="13" xfId="15" applyFont="1" applyFill="1" applyBorder="1" applyAlignment="1"/>
    <xf numFmtId="0" fontId="40" fillId="3" borderId="13" xfId="15" applyFont="1" applyFill="1" applyBorder="1" applyAlignment="1">
      <alignment wrapText="1"/>
    </xf>
    <xf numFmtId="0" fontId="40" fillId="3" borderId="13" xfId="15" applyFont="1" applyFill="1" applyBorder="1" applyAlignment="1"/>
    <xf numFmtId="0" fontId="40" fillId="3" borderId="13" xfId="15" applyFont="1" applyFill="1" applyBorder="1" applyAlignment="1">
      <alignment vertical="top" wrapText="1"/>
    </xf>
    <xf numFmtId="0" fontId="41" fillId="3" borderId="13" xfId="15" applyFont="1" applyFill="1" applyBorder="1" applyAlignment="1"/>
    <xf numFmtId="0" fontId="42" fillId="3" borderId="13" xfId="15" applyFont="1" applyFill="1" applyBorder="1" applyAlignment="1">
      <alignment wrapText="1"/>
    </xf>
    <xf numFmtId="164" fontId="13" fillId="3" borderId="24" xfId="2" applyFont="1" applyFill="1" applyBorder="1" applyAlignment="1" applyProtection="1">
      <alignment horizontal="center" vertical="center"/>
    </xf>
    <xf numFmtId="164" fontId="40" fillId="3" borderId="13" xfId="2" applyFont="1" applyFill="1" applyBorder="1" applyAlignment="1">
      <alignment vertical="center"/>
    </xf>
    <xf numFmtId="0" fontId="13" fillId="3" borderId="13" xfId="15" applyFont="1" applyFill="1" applyBorder="1" applyAlignment="1">
      <alignment horizontal="center" vertical="center"/>
    </xf>
    <xf numFmtId="0" fontId="40" fillId="3" borderId="13" xfId="18" applyFont="1" applyFill="1" applyBorder="1" applyAlignment="1" applyProtection="1">
      <alignment horizontal="left" vertical="top"/>
    </xf>
    <xf numFmtId="164" fontId="32" fillId="3" borderId="12" xfId="2" applyFont="1" applyFill="1" applyBorder="1" applyAlignment="1">
      <alignment horizontal="center"/>
    </xf>
    <xf numFmtId="164" fontId="13" fillId="3" borderId="0" xfId="2" applyFont="1" applyFill="1" applyBorder="1" applyAlignment="1">
      <alignment horizontal="center" vertical="center"/>
    </xf>
    <xf numFmtId="0" fontId="13" fillId="3" borderId="0" xfId="15" applyFont="1" applyFill="1" applyBorder="1" applyAlignment="1">
      <alignment horizontal="right" vertical="center" wrapText="1"/>
    </xf>
    <xf numFmtId="164" fontId="13" fillId="3" borderId="0" xfId="2" applyFont="1" applyFill="1" applyBorder="1" applyAlignment="1">
      <alignment horizontal="center" vertical="center" wrapText="1"/>
    </xf>
    <xf numFmtId="0" fontId="23" fillId="3" borderId="0" xfId="15" applyFont="1" applyFill="1" applyBorder="1" applyAlignment="1">
      <alignment horizontal="center" vertical="center" wrapText="1"/>
    </xf>
    <xf numFmtId="164" fontId="13" fillId="3" borderId="0" xfId="2" applyFont="1" applyFill="1" applyAlignment="1">
      <alignment vertical="center"/>
    </xf>
    <xf numFmtId="164" fontId="38" fillId="3" borderId="0" xfId="2" applyFont="1" applyFill="1" applyAlignment="1">
      <alignment vertical="center"/>
    </xf>
    <xf numFmtId="0" fontId="23" fillId="3" borderId="0" xfId="18" applyFont="1" applyFill="1" applyBorder="1" applyAlignment="1">
      <alignment vertical="center"/>
    </xf>
    <xf numFmtId="0" fontId="13" fillId="3" borderId="0" xfId="18" applyNumberFormat="1" applyFont="1" applyFill="1" applyBorder="1" applyAlignment="1">
      <alignment vertical="center"/>
    </xf>
    <xf numFmtId="0" fontId="13" fillId="3" borderId="0" xfId="18" applyFont="1" applyFill="1" applyBorder="1" applyAlignment="1">
      <alignment horizontal="center" vertical="center"/>
    </xf>
    <xf numFmtId="164" fontId="13" fillId="3" borderId="0" xfId="2" applyFont="1" applyFill="1" applyBorder="1" applyAlignment="1">
      <alignment vertical="center"/>
    </xf>
    <xf numFmtId="167" fontId="31" fillId="3" borderId="68" xfId="2" applyNumberFormat="1" applyFont="1" applyFill="1" applyBorder="1" applyAlignment="1">
      <alignment vertical="top" wrapText="1"/>
    </xf>
    <xf numFmtId="0" fontId="32" fillId="3" borderId="25" xfId="15" applyFont="1" applyFill="1" applyBorder="1" applyAlignment="1">
      <alignment horizontal="center"/>
    </xf>
    <xf numFmtId="4" fontId="15" fillId="0" borderId="13" xfId="0" applyNumberFormat="1" applyFont="1" applyBorder="1" applyAlignment="1">
      <alignment vertical="center"/>
    </xf>
    <xf numFmtId="4" fontId="19" fillId="0" borderId="16" xfId="0" applyNumberFormat="1" applyFont="1" applyFill="1" applyBorder="1" applyAlignment="1">
      <alignment horizontal="center" vertical="center" wrapText="1"/>
    </xf>
    <xf numFmtId="4" fontId="15" fillId="0" borderId="32" xfId="0" applyNumberFormat="1" applyFont="1" applyFill="1" applyBorder="1" applyAlignment="1">
      <alignment horizontal="center" vertical="center"/>
    </xf>
    <xf numFmtId="4" fontId="15" fillId="0" borderId="46" xfId="0" applyNumberFormat="1" applyFont="1" applyFill="1" applyBorder="1" applyAlignment="1">
      <alignment horizontal="center" vertical="center"/>
    </xf>
    <xf numFmtId="164" fontId="15" fillId="0" borderId="54" xfId="1" applyFont="1" applyFill="1" applyBorder="1" applyAlignment="1">
      <alignment horizontal="center" vertical="center"/>
    </xf>
    <xf numFmtId="4" fontId="15" fillId="0" borderId="72" xfId="0" applyNumberFormat="1" applyFont="1" applyFill="1" applyBorder="1" applyAlignment="1">
      <alignment horizontal="justify" vertical="top" wrapText="1"/>
    </xf>
    <xf numFmtId="4" fontId="15" fillId="0" borderId="72" xfId="0" applyNumberFormat="1" applyFont="1" applyFill="1" applyBorder="1" applyAlignment="1">
      <alignment horizontal="center" vertical="center" wrapText="1"/>
    </xf>
    <xf numFmtId="4" fontId="15" fillId="0" borderId="72" xfId="0" applyNumberFormat="1" applyFont="1" applyFill="1" applyBorder="1" applyAlignment="1">
      <alignment horizontal="center" vertical="center"/>
    </xf>
    <xf numFmtId="0" fontId="25" fillId="0" borderId="12" xfId="0" applyFont="1" applyBorder="1" applyAlignment="1" applyProtection="1">
      <alignment vertical="center" wrapText="1"/>
      <protection locked="0"/>
    </xf>
    <xf numFmtId="9" fontId="25" fillId="0" borderId="12" xfId="21" applyFont="1" applyBorder="1" applyAlignment="1" applyProtection="1">
      <alignment horizontal="center" vertical="center" wrapText="1"/>
      <protection locked="0"/>
    </xf>
    <xf numFmtId="4" fontId="19" fillId="0" borderId="73" xfId="0" applyNumberFormat="1" applyFont="1" applyFill="1" applyBorder="1" applyAlignment="1">
      <alignment horizontal="justify" vertical="top" wrapText="1"/>
    </xf>
    <xf numFmtId="4" fontId="15" fillId="0" borderId="73" xfId="0" applyNumberFormat="1" applyFont="1" applyFill="1" applyBorder="1" applyAlignment="1">
      <alignment horizontal="center" vertical="center" wrapText="1"/>
    </xf>
    <xf numFmtId="4" fontId="15" fillId="0" borderId="73" xfId="0" applyNumberFormat="1" applyFont="1" applyFill="1" applyBorder="1" applyAlignment="1">
      <alignment horizontal="center" vertical="center"/>
    </xf>
    <xf numFmtId="164" fontId="15" fillId="0" borderId="73" xfId="1" applyFont="1" applyFill="1" applyBorder="1" applyAlignment="1">
      <alignment horizontal="center" vertical="center"/>
    </xf>
    <xf numFmtId="164" fontId="15" fillId="0" borderId="72" xfId="1" applyFont="1" applyFill="1" applyBorder="1" applyAlignment="1">
      <alignment horizontal="center" vertical="center"/>
    </xf>
    <xf numFmtId="2" fontId="16" fillId="0" borderId="19" xfId="0" applyNumberFormat="1" applyFont="1" applyFill="1" applyBorder="1" applyAlignment="1">
      <alignment horizontal="center"/>
    </xf>
    <xf numFmtId="2" fontId="16" fillId="0" borderId="74" xfId="0" applyNumberFormat="1" applyFont="1" applyFill="1" applyBorder="1" applyAlignment="1">
      <alignment horizontal="center"/>
    </xf>
    <xf numFmtId="2" fontId="16" fillId="0" borderId="19" xfId="0" applyNumberFormat="1" applyFont="1" applyFill="1" applyBorder="1" applyAlignment="1">
      <alignment horizontal="center" vertical="center"/>
    </xf>
    <xf numFmtId="0" fontId="16" fillId="0" borderId="75" xfId="0" applyFont="1" applyFill="1" applyBorder="1" applyAlignment="1">
      <alignment horizontal="center" vertical="center"/>
    </xf>
    <xf numFmtId="164" fontId="16" fillId="0" borderId="19" xfId="1" applyFont="1" applyFill="1" applyBorder="1" applyAlignment="1">
      <alignment horizontal="center" vertical="center"/>
    </xf>
    <xf numFmtId="164" fontId="16" fillId="0" borderId="19" xfId="2" applyFont="1" applyFill="1" applyBorder="1" applyAlignment="1">
      <alignment horizontal="center" vertical="center"/>
    </xf>
    <xf numFmtId="4" fontId="15" fillId="0" borderId="69" xfId="0" applyNumberFormat="1" applyFont="1" applyBorder="1" applyAlignment="1">
      <alignment horizontal="center" vertical="top"/>
    </xf>
    <xf numFmtId="4" fontId="15" fillId="0" borderId="36" xfId="0" applyNumberFormat="1" applyFont="1" applyFill="1" applyBorder="1" applyAlignment="1">
      <alignment horizontal="center" vertical="center"/>
    </xf>
    <xf numFmtId="4" fontId="15" fillId="0" borderId="15" xfId="0" applyNumberFormat="1" applyFont="1" applyBorder="1" applyAlignment="1">
      <alignment horizontal="center" vertical="top"/>
    </xf>
    <xf numFmtId="4" fontId="15" fillId="0" borderId="11" xfId="0" applyNumberFormat="1" applyFont="1" applyFill="1" applyBorder="1" applyAlignment="1">
      <alignment horizontal="center" vertical="center"/>
    </xf>
    <xf numFmtId="4" fontId="15" fillId="0" borderId="76" xfId="0" applyNumberFormat="1" applyFont="1" applyFill="1" applyBorder="1" applyAlignment="1">
      <alignment vertical="center"/>
    </xf>
    <xf numFmtId="4" fontId="15" fillId="0" borderId="14" xfId="0" applyNumberFormat="1" applyFont="1" applyBorder="1" applyAlignment="1">
      <alignment horizontal="center" vertical="top"/>
    </xf>
    <xf numFmtId="4" fontId="16" fillId="0" borderId="53" xfId="0" applyNumberFormat="1" applyFont="1" applyFill="1" applyBorder="1" applyAlignment="1">
      <alignment horizontal="left" vertical="top" wrapText="1"/>
    </xf>
    <xf numFmtId="4" fontId="15" fillId="0" borderId="46" xfId="0" applyNumberFormat="1" applyFont="1" applyFill="1" applyBorder="1" applyAlignment="1">
      <alignment horizontal="left" vertical="top"/>
    </xf>
    <xf numFmtId="164" fontId="15" fillId="0" borderId="54" xfId="1" applyFont="1" applyFill="1" applyBorder="1" applyAlignment="1">
      <alignment horizontal="left" vertical="top"/>
    </xf>
    <xf numFmtId="4" fontId="15" fillId="0" borderId="53" xfId="0" applyNumberFormat="1" applyFont="1" applyBorder="1" applyAlignment="1">
      <alignment horizontal="left" vertical="top"/>
    </xf>
    <xf numFmtId="4" fontId="19" fillId="0" borderId="16" xfId="0" applyNumberFormat="1" applyFont="1" applyFill="1" applyBorder="1" applyAlignment="1">
      <alignment horizontal="left" vertical="top" wrapText="1"/>
    </xf>
    <xf numFmtId="4" fontId="15" fillId="0" borderId="0" xfId="0" applyNumberFormat="1" applyFont="1" applyBorder="1" applyAlignment="1">
      <alignment horizontal="left" vertical="top"/>
    </xf>
    <xf numFmtId="164" fontId="32" fillId="0" borderId="2" xfId="1" applyFont="1" applyBorder="1" applyAlignment="1"/>
    <xf numFmtId="0" fontId="15" fillId="0" borderId="0" xfId="0" applyFont="1" applyFill="1" applyBorder="1" applyAlignment="1">
      <alignment wrapText="1"/>
    </xf>
    <xf numFmtId="0" fontId="15" fillId="0" borderId="0" xfId="0" applyFont="1" applyFill="1" applyBorder="1" applyAlignment="1">
      <alignment horizontal="center" vertical="top" wrapText="1"/>
    </xf>
    <xf numFmtId="2" fontId="16" fillId="0" borderId="0" xfId="0" applyNumberFormat="1" applyFont="1" applyFill="1" applyBorder="1" applyAlignment="1">
      <alignment horizontal="center"/>
    </xf>
    <xf numFmtId="164" fontId="16" fillId="0" borderId="0" xfId="1" applyFont="1" applyFill="1" applyBorder="1" applyAlignment="1">
      <alignment wrapText="1"/>
    </xf>
    <xf numFmtId="0" fontId="15" fillId="0" borderId="0" xfId="0" applyFont="1" applyFill="1" applyBorder="1" applyAlignment="1">
      <alignment horizontal="left" vertical="top" wrapText="1"/>
    </xf>
    <xf numFmtId="4" fontId="15" fillId="0" borderId="0" xfId="0" applyNumberFormat="1" applyFont="1" applyBorder="1" applyAlignment="1">
      <alignment horizontal="left"/>
    </xf>
    <xf numFmtId="0" fontId="15" fillId="0" borderId="0" xfId="0" applyFont="1" applyFill="1" applyBorder="1" applyAlignment="1">
      <alignment wrapText="1"/>
    </xf>
    <xf numFmtId="4" fontId="15" fillId="0" borderId="13" xfId="0" applyNumberFormat="1" applyFont="1" applyFill="1" applyBorder="1" applyAlignment="1">
      <alignment vertical="top" wrapText="1"/>
    </xf>
    <xf numFmtId="4" fontId="15" fillId="0" borderId="13" xfId="0" applyNumberFormat="1" applyFont="1" applyFill="1" applyBorder="1" applyAlignment="1">
      <alignment vertical="center"/>
    </xf>
    <xf numFmtId="4" fontId="16" fillId="0" borderId="13" xfId="0" applyNumberFormat="1" applyFont="1" applyFill="1" applyBorder="1" applyAlignment="1">
      <alignment vertical="center" wrapText="1"/>
    </xf>
    <xf numFmtId="4" fontId="16" fillId="0" borderId="13" xfId="0" applyNumberFormat="1" applyFont="1" applyFill="1" applyBorder="1" applyAlignment="1">
      <alignment vertical="top" wrapText="1"/>
    </xf>
    <xf numFmtId="4" fontId="15" fillId="3" borderId="13" xfId="0" applyNumberFormat="1" applyFont="1" applyFill="1" applyBorder="1" applyAlignment="1">
      <alignment horizontal="center" vertical="top"/>
    </xf>
    <xf numFmtId="4" fontId="15" fillId="3" borderId="13" xfId="0" applyNumberFormat="1" applyFont="1" applyFill="1" applyBorder="1" applyAlignment="1">
      <alignment horizontal="right" vertical="top" wrapText="1"/>
    </xf>
    <xf numFmtId="164" fontId="15" fillId="3" borderId="13" xfId="1" applyFont="1" applyFill="1" applyBorder="1" applyAlignment="1">
      <alignment horizontal="right" vertical="top"/>
    </xf>
    <xf numFmtId="4" fontId="15" fillId="3" borderId="13" xfId="0" applyNumberFormat="1" applyFont="1" applyFill="1" applyBorder="1" applyAlignment="1">
      <alignment horizontal="right" vertical="top"/>
    </xf>
    <xf numFmtId="4" fontId="15" fillId="3" borderId="0" xfId="0" applyNumberFormat="1" applyFont="1" applyFill="1" applyBorder="1" applyAlignment="1">
      <alignment vertical="top"/>
    </xf>
    <xf numFmtId="4" fontId="23" fillId="0" borderId="13" xfId="0" applyNumberFormat="1" applyFont="1" applyFill="1" applyBorder="1" applyAlignment="1">
      <alignment horizontal="justify" vertical="center" wrapText="1"/>
    </xf>
    <xf numFmtId="0" fontId="15" fillId="0" borderId="13" xfId="0" applyFont="1" applyFill="1" applyBorder="1" applyAlignment="1">
      <alignment horizontal="center" vertical="top"/>
    </xf>
    <xf numFmtId="0" fontId="13" fillId="0" borderId="0" xfId="15" applyNumberFormat="1" applyFont="1" applyBorder="1" applyAlignment="1">
      <alignment horizontal="center"/>
    </xf>
    <xf numFmtId="0" fontId="13" fillId="0" borderId="0" xfId="15" applyNumberFormat="1" applyFont="1" applyAlignment="1">
      <alignment horizontal="center"/>
    </xf>
    <xf numFmtId="0" fontId="44" fillId="0" borderId="0" xfId="15" applyNumberFormat="1" applyFont="1" applyBorder="1" applyAlignment="1"/>
    <xf numFmtId="0" fontId="44" fillId="0" borderId="0" xfId="15" applyNumberFormat="1" applyFont="1" applyBorder="1" applyAlignment="1">
      <alignment horizontal="center"/>
    </xf>
    <xf numFmtId="0" fontId="46" fillId="0" borderId="0" xfId="15" applyNumberFormat="1" applyFont="1" applyAlignment="1">
      <alignment horizontal="center"/>
    </xf>
    <xf numFmtId="1" fontId="13" fillId="0" borderId="0" xfId="15" applyNumberFormat="1" applyFont="1" applyFill="1" applyAlignment="1">
      <alignment horizontal="left"/>
    </xf>
    <xf numFmtId="0" fontId="13" fillId="0" borderId="0" xfId="15" applyNumberFormat="1" applyFont="1" applyAlignment="1">
      <alignment horizontal="center" wrapText="1"/>
    </xf>
    <xf numFmtId="4" fontId="12" fillId="0" borderId="12" xfId="24" applyFont="1" applyBorder="1" applyAlignment="1">
      <alignment horizontal="left"/>
    </xf>
    <xf numFmtId="0" fontId="12" fillId="0" borderId="12" xfId="0" applyFont="1" applyBorder="1" applyAlignment="1">
      <alignment horizontal="justify" vertical="top" wrapText="1"/>
    </xf>
    <xf numFmtId="4" fontId="12" fillId="0" borderId="13" xfId="24" applyFont="1" applyBorder="1" applyAlignment="1">
      <alignment horizontal="left" wrapText="1"/>
    </xf>
    <xf numFmtId="4" fontId="12" fillId="0" borderId="13" xfId="24" applyFont="1" applyBorder="1" applyAlignment="1">
      <alignment horizontal="left"/>
    </xf>
    <xf numFmtId="0" fontId="12" fillId="0" borderId="13" xfId="0" applyFont="1" applyBorder="1" applyAlignment="1">
      <alignment horizontal="justify" vertical="top" wrapText="1"/>
    </xf>
    <xf numFmtId="4" fontId="49" fillId="0" borderId="13" xfId="24" applyFont="1" applyBorder="1" applyAlignment="1">
      <alignment horizontal="left" wrapText="1"/>
    </xf>
    <xf numFmtId="4" fontId="15" fillId="0" borderId="23" xfId="0" applyNumberFormat="1" applyFont="1" applyBorder="1" applyAlignment="1">
      <alignment horizontal="center" vertical="center"/>
    </xf>
    <xf numFmtId="4" fontId="16" fillId="0" borderId="80" xfId="0" applyNumberFormat="1" applyFont="1" applyFill="1" applyBorder="1" applyAlignment="1">
      <alignment horizontal="left" vertical="center" wrapText="1"/>
    </xf>
    <xf numFmtId="4" fontId="19" fillId="0" borderId="80" xfId="0" applyNumberFormat="1" applyFont="1" applyFill="1" applyBorder="1" applyAlignment="1">
      <alignment horizontal="center" vertical="center" wrapText="1"/>
    </xf>
    <xf numFmtId="4" fontId="15" fillId="0" borderId="80" xfId="0" applyNumberFormat="1" applyFont="1" applyFill="1" applyBorder="1" applyAlignment="1">
      <alignment horizontal="center" vertical="center"/>
    </xf>
    <xf numFmtId="164" fontId="15" fillId="0" borderId="80" xfId="1" applyFont="1" applyFill="1" applyBorder="1" applyAlignment="1">
      <alignment horizontal="center" vertical="center"/>
    </xf>
    <xf numFmtId="4" fontId="16" fillId="0" borderId="21" xfId="0" applyNumberFormat="1" applyFont="1" applyFill="1" applyBorder="1" applyAlignment="1">
      <alignment horizontal="center" vertical="center"/>
    </xf>
    <xf numFmtId="0" fontId="32" fillId="0" borderId="0" xfId="0" applyFont="1" applyFill="1" applyBorder="1" applyAlignment="1">
      <alignment horizontal="left" vertical="top" wrapText="1"/>
    </xf>
    <xf numFmtId="4" fontId="16" fillId="0" borderId="53" xfId="0" applyNumberFormat="1" applyFont="1" applyFill="1" applyBorder="1" applyAlignment="1">
      <alignment horizontal="center" vertical="top"/>
    </xf>
    <xf numFmtId="4" fontId="15" fillId="0" borderId="13" xfId="0" applyNumberFormat="1" applyFont="1" applyFill="1" applyBorder="1" applyAlignment="1">
      <alignment horizontal="center" vertical="center" wrapText="1"/>
    </xf>
    <xf numFmtId="4" fontId="15" fillId="0" borderId="13" xfId="0" applyNumberFormat="1" applyFont="1" applyFill="1" applyBorder="1" applyAlignment="1">
      <alignment horizontal="center" vertical="center"/>
    </xf>
    <xf numFmtId="164" fontId="15" fillId="0" borderId="13" xfId="1" applyFont="1" applyFill="1" applyBorder="1" applyAlignment="1">
      <alignment horizontal="center" vertical="center"/>
    </xf>
    <xf numFmtId="164" fontId="16" fillId="0" borderId="19" xfId="1" applyFont="1" applyFill="1" applyBorder="1" applyAlignment="1">
      <alignment horizontal="center"/>
    </xf>
    <xf numFmtId="0" fontId="16" fillId="0" borderId="75" xfId="0" applyFont="1" applyFill="1" applyBorder="1" applyAlignment="1">
      <alignment horizontal="center"/>
    </xf>
    <xf numFmtId="164" fontId="16" fillId="0" borderId="19" xfId="2" applyFont="1" applyFill="1" applyBorder="1" applyAlignment="1">
      <alignment horizontal="center"/>
    </xf>
    <xf numFmtId="0" fontId="15" fillId="0" borderId="33" xfId="0" applyFont="1" applyFill="1" applyBorder="1" applyAlignment="1">
      <alignment horizontal="center" vertical="top"/>
    </xf>
    <xf numFmtId="0" fontId="16" fillId="0" borderId="19" xfId="0" applyFont="1" applyFill="1" applyBorder="1" applyAlignment="1">
      <alignment horizontal="center"/>
    </xf>
    <xf numFmtId="4" fontId="15" fillId="0" borderId="33" xfId="0" applyNumberFormat="1" applyFont="1" applyBorder="1" applyAlignment="1">
      <alignment horizontal="center" vertical="top"/>
    </xf>
    <xf numFmtId="4" fontId="15" fillId="0" borderId="33" xfId="0" applyNumberFormat="1" applyFont="1" applyFill="1" applyBorder="1" applyAlignment="1">
      <alignment horizontal="justify" vertical="top" wrapText="1"/>
    </xf>
    <xf numFmtId="4" fontId="15" fillId="0" borderId="33" xfId="0" applyNumberFormat="1" applyFont="1" applyFill="1" applyBorder="1" applyAlignment="1">
      <alignment horizontal="right" vertical="top" wrapText="1"/>
    </xf>
    <xf numFmtId="4" fontId="15" fillId="0" borderId="33" xfId="0" applyNumberFormat="1" applyFont="1" applyFill="1" applyBorder="1" applyAlignment="1">
      <alignment horizontal="center" vertical="top"/>
    </xf>
    <xf numFmtId="164" fontId="15" fillId="0" borderId="33" xfId="1" applyFont="1" applyFill="1" applyBorder="1" applyAlignment="1">
      <alignment horizontal="right" vertical="top"/>
    </xf>
    <xf numFmtId="4" fontId="15" fillId="0" borderId="33" xfId="0" applyNumberFormat="1" applyFont="1" applyFill="1" applyBorder="1" applyAlignment="1">
      <alignment horizontal="right" vertical="top"/>
    </xf>
    <xf numFmtId="4" fontId="15" fillId="0" borderId="32" xfId="0" applyNumberFormat="1" applyFont="1" applyBorder="1" applyAlignment="1">
      <alignment horizontal="center" vertical="top"/>
    </xf>
    <xf numFmtId="4" fontId="15" fillId="0" borderId="32" xfId="0" applyNumberFormat="1" applyFont="1" applyFill="1" applyBorder="1" applyAlignment="1">
      <alignment horizontal="right" vertical="top" wrapText="1"/>
    </xf>
    <xf numFmtId="164" fontId="15" fillId="0" borderId="32" xfId="1" applyFont="1" applyFill="1" applyBorder="1" applyAlignment="1">
      <alignment horizontal="right" vertical="top"/>
    </xf>
    <xf numFmtId="4" fontId="15" fillId="0" borderId="32" xfId="0" applyNumberFormat="1" applyFont="1" applyFill="1" applyBorder="1" applyAlignment="1">
      <alignment horizontal="right" vertical="top"/>
    </xf>
    <xf numFmtId="4" fontId="15" fillId="0" borderId="22" xfId="0" applyNumberFormat="1" applyFont="1" applyBorder="1" applyAlignment="1">
      <alignment horizontal="center" vertical="center"/>
    </xf>
    <xf numFmtId="4" fontId="16" fillId="0" borderId="22" xfId="0" applyNumberFormat="1" applyFont="1" applyFill="1" applyBorder="1" applyAlignment="1">
      <alignment horizontal="left" vertical="center" wrapText="1"/>
    </xf>
    <xf numFmtId="4" fontId="19" fillId="0" borderId="22" xfId="0" applyNumberFormat="1" applyFont="1" applyFill="1" applyBorder="1" applyAlignment="1">
      <alignment horizontal="right" vertical="center" wrapText="1"/>
    </xf>
    <xf numFmtId="4" fontId="15" fillId="0" borderId="22" xfId="0" applyNumberFormat="1" applyFont="1" applyFill="1" applyBorder="1" applyAlignment="1">
      <alignment horizontal="center" vertical="top"/>
    </xf>
    <xf numFmtId="164" fontId="15" fillId="0" borderId="22" xfId="1" applyFont="1" applyFill="1" applyBorder="1" applyAlignment="1">
      <alignment horizontal="right" vertical="top"/>
    </xf>
    <xf numFmtId="4" fontId="16" fillId="0" borderId="22" xfId="0" applyNumberFormat="1" applyFont="1" applyFill="1" applyBorder="1" applyAlignment="1">
      <alignment horizontal="right" vertical="top"/>
    </xf>
    <xf numFmtId="4" fontId="15" fillId="0" borderId="13" xfId="0" applyNumberFormat="1" applyFont="1" applyFill="1" applyBorder="1" applyAlignment="1">
      <alignment horizontal="left" wrapText="1"/>
    </xf>
    <xf numFmtId="4" fontId="15" fillId="0" borderId="33" xfId="0" applyNumberFormat="1" applyFont="1" applyBorder="1" applyAlignment="1">
      <alignment horizontal="center" vertical="center"/>
    </xf>
    <xf numFmtId="4" fontId="15" fillId="0" borderId="33" xfId="0" applyNumberFormat="1" applyFont="1" applyFill="1" applyBorder="1" applyAlignment="1">
      <alignment horizontal="center" vertical="center"/>
    </xf>
    <xf numFmtId="4" fontId="16" fillId="0" borderId="37" xfId="0" applyNumberFormat="1" applyFont="1" applyFill="1" applyBorder="1" applyAlignment="1">
      <alignment horizontal="justify" vertical="top" wrapText="1"/>
    </xf>
    <xf numFmtId="4" fontId="15" fillId="0" borderId="29" xfId="0" applyNumberFormat="1" applyFont="1" applyFill="1" applyBorder="1" applyAlignment="1">
      <alignment horizontal="justify" vertical="top" wrapText="1"/>
    </xf>
    <xf numFmtId="4" fontId="15" fillId="0" borderId="29" xfId="0" applyNumberFormat="1" applyFont="1" applyFill="1" applyBorder="1" applyAlignment="1">
      <alignment horizontal="right" vertical="top" wrapText="1"/>
    </xf>
    <xf numFmtId="4" fontId="15" fillId="0" borderId="29" xfId="0" applyNumberFormat="1" applyFont="1" applyFill="1" applyBorder="1" applyAlignment="1">
      <alignment horizontal="center" vertical="top"/>
    </xf>
    <xf numFmtId="164" fontId="15" fillId="0" borderId="29" xfId="1" applyFont="1" applyFill="1" applyBorder="1" applyAlignment="1">
      <alignment horizontal="right" vertical="top"/>
    </xf>
    <xf numFmtId="4" fontId="15" fillId="0" borderId="81" xfId="0" applyNumberFormat="1" applyFont="1" applyBorder="1" applyAlignment="1">
      <alignment horizontal="center" vertical="top"/>
    </xf>
    <xf numFmtId="4" fontId="19" fillId="0" borderId="81" xfId="0" applyNumberFormat="1" applyFont="1" applyFill="1" applyBorder="1" applyAlignment="1">
      <alignment horizontal="justify" vertical="center" wrapText="1"/>
    </xf>
    <xf numFmtId="4" fontId="15" fillId="0" borderId="81" xfId="0" applyNumberFormat="1" applyFont="1" applyFill="1" applyBorder="1" applyAlignment="1">
      <alignment horizontal="right" vertical="top" wrapText="1"/>
    </xf>
    <xf numFmtId="4" fontId="15" fillId="0" borderId="81" xfId="0" applyNumberFormat="1" applyFont="1" applyFill="1" applyBorder="1" applyAlignment="1">
      <alignment horizontal="center" vertical="top"/>
    </xf>
    <xf numFmtId="164" fontId="15" fillId="0" borderId="81" xfId="1" applyFont="1" applyFill="1" applyBorder="1" applyAlignment="1">
      <alignment horizontal="right" vertical="top"/>
    </xf>
    <xf numFmtId="4" fontId="15" fillId="0" borderId="81" xfId="0" applyNumberFormat="1" applyFont="1" applyFill="1" applyBorder="1" applyAlignment="1">
      <alignment horizontal="right" vertical="top"/>
    </xf>
    <xf numFmtId="4" fontId="15" fillId="0" borderId="82" xfId="0" applyNumberFormat="1" applyFont="1" applyBorder="1" applyAlignment="1">
      <alignment horizontal="center" vertical="top"/>
    </xf>
    <xf numFmtId="4" fontId="19" fillId="0" borderId="82" xfId="0" applyNumberFormat="1" applyFont="1" applyFill="1" applyBorder="1" applyAlignment="1">
      <alignment horizontal="justify" vertical="center" wrapText="1"/>
    </xf>
    <xf numFmtId="4" fontId="15" fillId="0" borderId="82" xfId="0" applyNumberFormat="1" applyFont="1" applyFill="1" applyBorder="1" applyAlignment="1">
      <alignment horizontal="right" vertical="top" wrapText="1"/>
    </xf>
    <xf numFmtId="4" fontId="15" fillId="0" borderId="82" xfId="0" applyNumberFormat="1" applyFont="1" applyFill="1" applyBorder="1" applyAlignment="1">
      <alignment horizontal="center" vertical="top"/>
    </xf>
    <xf numFmtId="164" fontId="15" fillId="0" borderId="82" xfId="1" applyFont="1" applyFill="1" applyBorder="1" applyAlignment="1">
      <alignment horizontal="right" vertical="top"/>
    </xf>
    <xf numFmtId="4" fontId="15" fillId="0" borderId="82" xfId="0" applyNumberFormat="1" applyFont="1" applyFill="1" applyBorder="1" applyAlignment="1">
      <alignment horizontal="right" vertical="top"/>
    </xf>
    <xf numFmtId="4" fontId="15" fillId="0" borderId="13" xfId="0" applyNumberFormat="1" applyFont="1" applyFill="1" applyBorder="1" applyAlignment="1">
      <alignment horizontal="center" vertical="top" wrapText="1"/>
    </xf>
    <xf numFmtId="4" fontId="19" fillId="0" borderId="13" xfId="0" applyNumberFormat="1" applyFont="1" applyFill="1" applyBorder="1" applyAlignment="1">
      <alignment horizontal="justify" vertical="top" wrapText="1"/>
    </xf>
    <xf numFmtId="4" fontId="15" fillId="0" borderId="57" xfId="0" applyNumberFormat="1" applyFont="1" applyFill="1" applyBorder="1" applyAlignment="1">
      <alignment horizontal="justify" vertical="top" wrapText="1"/>
    </xf>
    <xf numFmtId="4" fontId="15" fillId="0" borderId="57" xfId="0" applyNumberFormat="1" applyFont="1" applyFill="1" applyBorder="1" applyAlignment="1">
      <alignment horizontal="center" vertical="center" wrapText="1"/>
    </xf>
    <xf numFmtId="4" fontId="15" fillId="0" borderId="57" xfId="0" applyNumberFormat="1" applyFont="1" applyFill="1" applyBorder="1" applyAlignment="1">
      <alignment horizontal="center" vertical="center"/>
    </xf>
    <xf numFmtId="164" fontId="15" fillId="0" borderId="57" xfId="1" applyFont="1" applyFill="1" applyBorder="1" applyAlignment="1">
      <alignment horizontal="center" vertical="center"/>
    </xf>
    <xf numFmtId="4" fontId="15" fillId="0" borderId="67" xfId="0" applyNumberFormat="1" applyFont="1" applyBorder="1" applyAlignment="1">
      <alignment horizontal="center" vertical="top"/>
    </xf>
    <xf numFmtId="4" fontId="15" fillId="0" borderId="67" xfId="0" applyNumberFormat="1" applyFont="1" applyFill="1" applyBorder="1" applyAlignment="1">
      <alignment horizontal="justify" vertical="top" wrapText="1"/>
    </xf>
    <xf numFmtId="4" fontId="15" fillId="0" borderId="67" xfId="0" applyNumberFormat="1" applyFont="1" applyFill="1" applyBorder="1" applyAlignment="1">
      <alignment horizontal="center" vertical="center" wrapText="1"/>
    </xf>
    <xf numFmtId="4" fontId="15" fillId="0" borderId="67" xfId="0" applyNumberFormat="1" applyFont="1" applyFill="1" applyBorder="1" applyAlignment="1">
      <alignment horizontal="center" vertical="center"/>
    </xf>
    <xf numFmtId="164" fontId="15" fillId="0" borderId="67" xfId="1" applyFont="1" applyFill="1" applyBorder="1" applyAlignment="1">
      <alignment horizontal="center" vertical="center"/>
    </xf>
    <xf numFmtId="2" fontId="16" fillId="0" borderId="20" xfId="0" applyNumberFormat="1" applyFont="1" applyFill="1" applyBorder="1" applyAlignment="1">
      <alignment horizontal="center"/>
    </xf>
    <xf numFmtId="2" fontId="16" fillId="0" borderId="70" xfId="0" applyNumberFormat="1" applyFont="1" applyFill="1" applyBorder="1" applyAlignment="1">
      <alignment horizontal="center"/>
    </xf>
    <xf numFmtId="0" fontId="16" fillId="0" borderId="70" xfId="0" applyFont="1" applyFill="1" applyBorder="1" applyAlignment="1">
      <alignment horizontal="center"/>
    </xf>
    <xf numFmtId="164" fontId="16" fillId="0" borderId="70" xfId="1" applyFont="1" applyFill="1" applyBorder="1" applyAlignment="1">
      <alignment horizontal="center"/>
    </xf>
    <xf numFmtId="164" fontId="16" fillId="0" borderId="18" xfId="2" applyFont="1" applyFill="1" applyBorder="1" applyAlignment="1">
      <alignment horizontal="center"/>
    </xf>
    <xf numFmtId="4" fontId="15" fillId="0" borderId="17" xfId="0" applyNumberFormat="1" applyFont="1" applyBorder="1" applyAlignment="1">
      <alignment horizontal="center" vertical="center"/>
    </xf>
    <xf numFmtId="164" fontId="13" fillId="3" borderId="33" xfId="2" applyFont="1" applyFill="1" applyBorder="1" applyAlignment="1">
      <alignment horizontal="center" vertical="center"/>
    </xf>
    <xf numFmtId="164" fontId="13" fillId="3" borderId="33" xfId="2" applyFont="1" applyFill="1" applyBorder="1" applyAlignment="1" applyProtection="1">
      <alignment horizontal="center" vertical="center"/>
    </xf>
    <xf numFmtId="0" fontId="13" fillId="3" borderId="33" xfId="18" applyFont="1" applyFill="1" applyBorder="1" applyAlignment="1">
      <alignment horizontal="center" vertical="center"/>
    </xf>
    <xf numFmtId="164" fontId="13" fillId="3" borderId="33" xfId="2" applyFont="1" applyFill="1" applyBorder="1" applyAlignment="1">
      <alignment vertical="center"/>
    </xf>
    <xf numFmtId="164" fontId="31" fillId="3" borderId="80" xfId="2" applyFont="1" applyFill="1" applyBorder="1" applyAlignment="1">
      <alignment vertical="top"/>
    </xf>
    <xf numFmtId="4" fontId="18" fillId="0" borderId="81" xfId="0" applyNumberFormat="1" applyFont="1" applyFill="1" applyBorder="1" applyAlignment="1">
      <alignment horizontal="justify" vertical="center" wrapText="1"/>
    </xf>
    <xf numFmtId="4" fontId="32" fillId="0" borderId="81" xfId="0" applyNumberFormat="1" applyFont="1" applyFill="1" applyBorder="1" applyAlignment="1">
      <alignment horizontal="center" vertical="center" wrapText="1"/>
    </xf>
    <xf numFmtId="4" fontId="15" fillId="0" borderId="81" xfId="0" applyNumberFormat="1" applyFont="1" applyFill="1" applyBorder="1" applyAlignment="1">
      <alignment horizontal="center" vertical="center"/>
    </xf>
    <xf numFmtId="4" fontId="32" fillId="0" borderId="82" xfId="0" applyNumberFormat="1" applyFont="1" applyFill="1" applyBorder="1" applyAlignment="1">
      <alignment horizontal="center" vertical="center" wrapText="1"/>
    </xf>
    <xf numFmtId="4" fontId="15" fillId="0" borderId="82" xfId="0" applyNumberFormat="1" applyFont="1" applyFill="1" applyBorder="1" applyAlignment="1">
      <alignment horizontal="center" vertical="center"/>
    </xf>
    <xf numFmtId="4" fontId="32" fillId="0" borderId="13" xfId="0" applyNumberFormat="1" applyFont="1" applyFill="1" applyBorder="1" applyAlignment="1">
      <alignment horizontal="center" vertical="center" wrapText="1"/>
    </xf>
    <xf numFmtId="4" fontId="32" fillId="0" borderId="13" xfId="0" applyNumberFormat="1" applyFont="1" applyFill="1" applyBorder="1" applyAlignment="1">
      <alignment horizontal="justify" vertical="center" wrapText="1"/>
    </xf>
    <xf numFmtId="4" fontId="15" fillId="0" borderId="29" xfId="0" applyNumberFormat="1" applyFont="1" applyFill="1" applyBorder="1" applyAlignment="1">
      <alignment horizontal="center" vertical="center" wrapText="1"/>
    </xf>
    <xf numFmtId="4" fontId="15" fillId="0" borderId="29" xfId="0" applyNumberFormat="1" applyFont="1" applyFill="1" applyBorder="1" applyAlignment="1">
      <alignment horizontal="center" vertical="center"/>
    </xf>
    <xf numFmtId="4" fontId="32" fillId="0" borderId="33" xfId="0" applyNumberFormat="1" applyFont="1" applyFill="1" applyBorder="1" applyAlignment="1">
      <alignment horizontal="center" vertical="center" wrapText="1"/>
    </xf>
    <xf numFmtId="164" fontId="15" fillId="0" borderId="33" xfId="1" applyFont="1" applyFill="1" applyBorder="1" applyAlignment="1">
      <alignment horizontal="center" vertical="center"/>
    </xf>
    <xf numFmtId="4" fontId="32" fillId="0" borderId="32" xfId="0" applyNumberFormat="1" applyFont="1" applyFill="1" applyBorder="1" applyAlignment="1">
      <alignment horizontal="center" vertical="center" wrapText="1"/>
    </xf>
    <xf numFmtId="164" fontId="15" fillId="0" borderId="32" xfId="1" applyFont="1" applyFill="1" applyBorder="1" applyAlignment="1">
      <alignment horizontal="center" vertical="center"/>
    </xf>
    <xf numFmtId="4" fontId="32" fillId="0" borderId="33" xfId="0" applyNumberFormat="1" applyFont="1" applyFill="1" applyBorder="1" applyAlignment="1">
      <alignment horizontal="justify" vertical="center" wrapText="1"/>
    </xf>
    <xf numFmtId="4" fontId="32" fillId="0" borderId="32" xfId="0" applyNumberFormat="1" applyFont="1" applyFill="1" applyBorder="1" applyAlignment="1">
      <alignment horizontal="justify" vertical="center" wrapText="1"/>
    </xf>
    <xf numFmtId="4" fontId="18" fillId="0" borderId="32" xfId="0" applyNumberFormat="1" applyFont="1" applyFill="1" applyBorder="1" applyAlignment="1">
      <alignment horizontal="justify" vertical="center" wrapText="1"/>
    </xf>
    <xf numFmtId="4" fontId="15" fillId="0" borderId="33" xfId="0" applyNumberFormat="1" applyFont="1" applyFill="1" applyBorder="1" applyAlignment="1">
      <alignment horizontal="center" vertical="center" wrapText="1"/>
    </xf>
    <xf numFmtId="164" fontId="15" fillId="0" borderId="37" xfId="1" applyFont="1" applyFill="1" applyBorder="1" applyAlignment="1">
      <alignment horizontal="center" vertical="center"/>
    </xf>
    <xf numFmtId="0" fontId="30" fillId="0" borderId="13" xfId="6" applyFont="1" applyFill="1" applyBorder="1" applyAlignment="1">
      <alignment horizontal="left" vertical="top"/>
    </xf>
    <xf numFmtId="0" fontId="30" fillId="0" borderId="13" xfId="6" applyFont="1" applyFill="1" applyBorder="1" applyAlignment="1">
      <alignment horizontal="left" vertical="top" wrapText="1"/>
    </xf>
    <xf numFmtId="0" fontId="30" fillId="0" borderId="13" xfId="6" applyFont="1" applyFill="1" applyBorder="1" applyAlignment="1">
      <alignment vertical="top" wrapText="1"/>
    </xf>
    <xf numFmtId="0" fontId="30" fillId="0" borderId="13" xfId="13" applyFont="1" applyFill="1" applyBorder="1" applyAlignment="1">
      <alignment horizontal="left" vertical="center" wrapText="1"/>
    </xf>
    <xf numFmtId="0" fontId="12" fillId="0" borderId="13" xfId="13" applyFont="1" applyFill="1" applyBorder="1" applyAlignment="1">
      <alignment horizontal="left" vertical="top" wrapText="1"/>
    </xf>
    <xf numFmtId="0" fontId="30" fillId="0" borderId="13" xfId="13" applyFont="1" applyFill="1" applyBorder="1" applyAlignment="1">
      <alignment horizontal="left" vertical="top" wrapText="1"/>
    </xf>
    <xf numFmtId="0" fontId="12" fillId="0" borderId="13" xfId="14" applyNumberFormat="1" applyFont="1" applyFill="1" applyBorder="1" applyAlignment="1" applyProtection="1">
      <alignment horizontal="left" vertical="center" wrapText="1"/>
      <protection locked="0"/>
    </xf>
    <xf numFmtId="0" fontId="30" fillId="0" borderId="13" xfId="14" applyNumberFormat="1" applyFont="1" applyFill="1" applyBorder="1" applyAlignment="1" applyProtection="1">
      <alignment horizontal="left" vertical="center" wrapText="1"/>
      <protection locked="0"/>
    </xf>
    <xf numFmtId="0" fontId="33" fillId="0" borderId="13" xfId="14" applyNumberFormat="1" applyFont="1" applyFill="1" applyBorder="1" applyAlignment="1" applyProtection="1">
      <alignment horizontal="left" vertical="center" wrapText="1"/>
      <protection locked="0"/>
    </xf>
    <xf numFmtId="0" fontId="12" fillId="0" borderId="13" xfId="0" applyFont="1" applyFill="1" applyBorder="1" applyAlignment="1">
      <alignment horizontal="left" vertical="top" wrapText="1"/>
    </xf>
    <xf numFmtId="0" fontId="34" fillId="0" borderId="13" xfId="0" applyFont="1" applyFill="1" applyBorder="1" applyAlignment="1">
      <alignment horizontal="left" vertical="center" wrapText="1"/>
    </xf>
    <xf numFmtId="0" fontId="34" fillId="0" borderId="13" xfId="0" applyFont="1" applyFill="1" applyBorder="1" applyAlignment="1">
      <alignment horizontal="left" vertical="top" wrapText="1"/>
    </xf>
    <xf numFmtId="0" fontId="30" fillId="0" borderId="13" xfId="6" applyFont="1" applyFill="1" applyBorder="1" applyAlignment="1">
      <alignment horizontal="left" wrapText="1"/>
    </xf>
    <xf numFmtId="0" fontId="12" fillId="0" borderId="13" xfId="15" applyFont="1" applyFill="1" applyBorder="1" applyAlignment="1">
      <alignment horizontal="left" vertical="center" wrapText="1"/>
    </xf>
    <xf numFmtId="0" fontId="34" fillId="0" borderId="13" xfId="14" applyNumberFormat="1" applyFont="1" applyFill="1" applyBorder="1" applyAlignment="1" applyProtection="1">
      <alignment horizontal="left" vertical="center" wrapText="1"/>
      <protection locked="0"/>
    </xf>
    <xf numFmtId="0" fontId="12" fillId="0" borderId="13" xfId="15" applyFont="1" applyFill="1" applyBorder="1" applyAlignment="1">
      <alignment horizontal="left" vertical="top" wrapText="1"/>
    </xf>
    <xf numFmtId="0" fontId="12" fillId="0" borderId="13" xfId="15" applyFont="1" applyFill="1" applyBorder="1" applyAlignment="1">
      <alignment vertical="top"/>
    </xf>
    <xf numFmtId="0" fontId="12" fillId="0" borderId="13" xfId="0" applyFont="1" applyFill="1" applyBorder="1" applyAlignment="1">
      <alignment horizontal="left" vertical="center" wrapText="1"/>
    </xf>
    <xf numFmtId="0" fontId="30" fillId="0" borderId="13" xfId="0" applyFont="1" applyFill="1" applyBorder="1" applyAlignment="1">
      <alignment horizontal="left" vertical="center" wrapText="1"/>
    </xf>
    <xf numFmtId="0" fontId="12" fillId="0" borderId="13" xfId="15" applyFont="1" applyFill="1" applyBorder="1" applyAlignment="1">
      <alignment vertical="top" wrapText="1"/>
    </xf>
    <xf numFmtId="0" fontId="33" fillId="0" borderId="13" xfId="0" applyFont="1" applyFill="1" applyBorder="1" applyAlignment="1">
      <alignment horizontal="left" vertical="top" wrapText="1"/>
    </xf>
    <xf numFmtId="4" fontId="16" fillId="0" borderId="13" xfId="0" applyNumberFormat="1" applyFont="1" applyFill="1" applyBorder="1" applyAlignment="1">
      <alignment vertical="top"/>
    </xf>
    <xf numFmtId="4" fontId="16" fillId="0" borderId="13" xfId="0" applyNumberFormat="1" applyFont="1" applyFill="1" applyBorder="1" applyAlignment="1">
      <alignment horizontal="left" vertical="top" wrapText="1"/>
    </xf>
    <xf numFmtId="0" fontId="30" fillId="0" borderId="33" xfId="6" applyFont="1" applyFill="1" applyBorder="1" applyAlignment="1">
      <alignment horizontal="left" vertical="top" wrapText="1"/>
    </xf>
    <xf numFmtId="0" fontId="30" fillId="0" borderId="32" xfId="6" applyFont="1" applyFill="1" applyBorder="1" applyAlignment="1">
      <alignment horizontal="left" vertical="top" wrapText="1"/>
    </xf>
    <xf numFmtId="0" fontId="12" fillId="0" borderId="33" xfId="14" applyNumberFormat="1" applyFont="1" applyFill="1" applyBorder="1" applyAlignment="1" applyProtection="1">
      <alignment horizontal="left" vertical="center" wrapText="1"/>
      <protection locked="0"/>
    </xf>
    <xf numFmtId="4" fontId="16" fillId="0" borderId="32" xfId="0" applyNumberFormat="1" applyFont="1" applyFill="1" applyBorder="1" applyAlignment="1">
      <alignment horizontal="justify" vertical="top" wrapText="1"/>
    </xf>
    <xf numFmtId="4" fontId="15" fillId="0" borderId="32" xfId="0" applyNumberFormat="1" applyFont="1" applyFill="1" applyBorder="1" applyAlignment="1">
      <alignment horizontal="center" vertical="center" wrapText="1"/>
    </xf>
    <xf numFmtId="4" fontId="16" fillId="0" borderId="32" xfId="0" applyNumberFormat="1" applyFont="1" applyBorder="1" applyAlignment="1">
      <alignment horizontal="center" vertical="top"/>
    </xf>
    <xf numFmtId="4" fontId="16" fillId="0" borderId="16" xfId="0" applyNumberFormat="1" applyFont="1" applyFill="1" applyBorder="1" applyAlignment="1">
      <alignment horizontal="center" vertical="center"/>
    </xf>
    <xf numFmtId="4" fontId="16" fillId="0" borderId="82" xfId="0" applyNumberFormat="1" applyFont="1" applyBorder="1" applyAlignment="1">
      <alignment horizontal="center" vertical="top"/>
    </xf>
    <xf numFmtId="4" fontId="16" fillId="0" borderId="82" xfId="0" applyNumberFormat="1" applyFont="1" applyFill="1" applyBorder="1" applyAlignment="1">
      <alignment horizontal="justify" vertical="top" wrapText="1"/>
    </xf>
    <xf numFmtId="4" fontId="16" fillId="0" borderId="81" xfId="0" applyNumberFormat="1" applyFont="1" applyBorder="1" applyAlignment="1">
      <alignment horizontal="center" vertical="top"/>
    </xf>
    <xf numFmtId="4" fontId="16" fillId="0" borderId="81" xfId="0" applyNumberFormat="1" applyFont="1" applyFill="1" applyBorder="1" applyAlignment="1">
      <alignment horizontal="justify" vertical="top" wrapText="1"/>
    </xf>
    <xf numFmtId="4" fontId="16" fillId="0" borderId="12" xfId="0" applyNumberFormat="1" applyFont="1" applyFill="1" applyBorder="1" applyAlignment="1">
      <alignment horizontal="left" vertical="top" wrapText="1"/>
    </xf>
    <xf numFmtId="4" fontId="19" fillId="0" borderId="12" xfId="0" applyNumberFormat="1" applyFont="1" applyFill="1" applyBorder="1" applyAlignment="1">
      <alignment horizontal="left" vertical="top" wrapText="1"/>
    </xf>
    <xf numFmtId="4" fontId="15" fillId="0" borderId="12" xfId="0" applyNumberFormat="1" applyFont="1" applyFill="1" applyBorder="1" applyAlignment="1">
      <alignment horizontal="left" vertical="top"/>
    </xf>
    <xf numFmtId="164" fontId="15" fillId="0" borderId="12" xfId="1" applyFont="1" applyFill="1" applyBorder="1" applyAlignment="1">
      <alignment horizontal="left" vertical="top"/>
    </xf>
    <xf numFmtId="4" fontId="16" fillId="0" borderId="12" xfId="0" applyNumberFormat="1" applyFont="1" applyFill="1" applyBorder="1" applyAlignment="1">
      <alignment horizontal="left" vertical="top"/>
    </xf>
    <xf numFmtId="4" fontId="18" fillId="0" borderId="13" xfId="0" applyNumberFormat="1" applyFont="1" applyFill="1" applyBorder="1" applyAlignment="1">
      <alignment horizontal="center" vertical="center" wrapText="1"/>
    </xf>
    <xf numFmtId="4" fontId="19" fillId="0" borderId="13" xfId="0" applyNumberFormat="1" applyFont="1" applyFill="1" applyBorder="1" applyAlignment="1">
      <alignment horizontal="center" vertical="center" wrapText="1"/>
    </xf>
    <xf numFmtId="0" fontId="15" fillId="0" borderId="13" xfId="0" applyFont="1" applyBorder="1" applyAlignment="1">
      <alignment horizontal="justify" vertical="justify"/>
    </xf>
    <xf numFmtId="4" fontId="32" fillId="0" borderId="13" xfId="0" applyNumberFormat="1" applyFont="1" applyFill="1" applyBorder="1" applyAlignment="1">
      <alignment horizontal="justify" vertical="top" wrapText="1"/>
    </xf>
    <xf numFmtId="4" fontId="15" fillId="0" borderId="32" xfId="0" applyNumberFormat="1" applyFont="1" applyFill="1" applyBorder="1" applyAlignment="1">
      <alignment horizontal="left" vertical="center" wrapText="1"/>
    </xf>
    <xf numFmtId="4" fontId="32" fillId="0" borderId="32" xfId="0" applyNumberFormat="1" applyFont="1" applyFill="1" applyBorder="1" applyAlignment="1">
      <alignment horizontal="justify" vertical="top" wrapText="1"/>
    </xf>
    <xf numFmtId="4" fontId="15" fillId="3" borderId="13" xfId="0" applyNumberFormat="1" applyFont="1" applyFill="1" applyBorder="1" applyAlignment="1">
      <alignment horizontal="justify" vertical="top" wrapText="1"/>
    </xf>
    <xf numFmtId="4" fontId="15" fillId="3" borderId="13" xfId="0" applyNumberFormat="1" applyFont="1" applyFill="1" applyBorder="1" applyAlignment="1">
      <alignment horizontal="center" vertical="center" wrapText="1"/>
    </xf>
    <xf numFmtId="4" fontId="15" fillId="3" borderId="13" xfId="0" applyNumberFormat="1" applyFont="1" applyFill="1" applyBorder="1" applyAlignment="1">
      <alignment horizontal="center" vertical="center"/>
    </xf>
    <xf numFmtId="164" fontId="15" fillId="3" borderId="13" xfId="1" applyFont="1" applyFill="1" applyBorder="1" applyAlignment="1">
      <alignment horizontal="center" vertical="center"/>
    </xf>
    <xf numFmtId="4" fontId="50" fillId="0" borderId="0" xfId="0" applyNumberFormat="1" applyFont="1" applyBorder="1" applyAlignment="1">
      <alignment vertical="top"/>
    </xf>
    <xf numFmtId="4" fontId="50" fillId="2" borderId="0" xfId="0" applyNumberFormat="1" applyFont="1" applyFill="1" applyBorder="1" applyAlignment="1">
      <alignment vertical="top"/>
    </xf>
    <xf numFmtId="4" fontId="15" fillId="3" borderId="0" xfId="0" applyNumberFormat="1" applyFont="1" applyFill="1" applyBorder="1" applyAlignment="1">
      <alignment horizontal="right" vertical="top"/>
    </xf>
    <xf numFmtId="4" fontId="15" fillId="0" borderId="32" xfId="0" applyNumberFormat="1" applyFont="1" applyFill="1" applyBorder="1" applyAlignment="1">
      <alignment horizontal="left" vertical="top" wrapText="1"/>
    </xf>
    <xf numFmtId="4" fontId="31" fillId="0" borderId="0" xfId="0" applyNumberFormat="1" applyFont="1" applyBorder="1" applyAlignment="1">
      <alignment horizontal="center" wrapText="1"/>
    </xf>
    <xf numFmtId="4" fontId="31" fillId="0" borderId="0" xfId="0" applyNumberFormat="1" applyFont="1" applyBorder="1" applyAlignment="1">
      <alignment horizontal="center" vertical="center" wrapText="1"/>
    </xf>
    <xf numFmtId="164" fontId="31" fillId="0" borderId="0" xfId="1" applyFont="1" applyFill="1" applyBorder="1" applyAlignment="1">
      <alignment horizontal="center"/>
    </xf>
    <xf numFmtId="164" fontId="32" fillId="0" borderId="0" xfId="1" applyFont="1" applyFill="1" applyBorder="1" applyAlignment="1">
      <alignment vertical="center"/>
    </xf>
    <xf numFmtId="164" fontId="31" fillId="0" borderId="0" xfId="1" applyFont="1" applyFill="1" applyBorder="1" applyAlignment="1">
      <alignment vertical="center"/>
    </xf>
    <xf numFmtId="164" fontId="31" fillId="0" borderId="0" xfId="1" applyFont="1" applyFill="1" applyBorder="1" applyAlignment="1">
      <alignment vertical="center" wrapText="1"/>
    </xf>
    <xf numFmtId="164" fontId="32" fillId="0" borderId="0" xfId="1" applyFont="1" applyFill="1" applyBorder="1" applyAlignment="1">
      <alignment wrapText="1"/>
    </xf>
    <xf numFmtId="164" fontId="31" fillId="0" borderId="0" xfId="1" applyFont="1" applyFill="1" applyBorder="1" applyAlignment="1">
      <alignment wrapText="1"/>
    </xf>
    <xf numFmtId="164" fontId="32" fillId="0" borderId="0" xfId="1" applyFont="1" applyBorder="1" applyAlignment="1"/>
    <xf numFmtId="9" fontId="25" fillId="0" borderId="0" xfId="21" applyFont="1" applyBorder="1" applyAlignment="1" applyProtection="1">
      <alignment horizontal="center" vertical="center" wrapText="1"/>
      <protection locked="0"/>
    </xf>
    <xf numFmtId="4" fontId="32" fillId="0" borderId="13" xfId="0" applyNumberFormat="1" applyFont="1" applyFill="1" applyBorder="1" applyAlignment="1">
      <alignment horizontal="left" vertical="center" wrapText="1"/>
    </xf>
    <xf numFmtId="0" fontId="15" fillId="0" borderId="0" xfId="0" applyFont="1" applyFill="1" applyBorder="1" applyAlignment="1">
      <alignment horizontal="left" wrapText="1"/>
    </xf>
    <xf numFmtId="164" fontId="15" fillId="0" borderId="0" xfId="1" applyFont="1" applyFill="1" applyBorder="1" applyAlignment="1">
      <alignment horizontal="left" wrapText="1"/>
    </xf>
    <xf numFmtId="164" fontId="13" fillId="0" borderId="15" xfId="1" applyFont="1" applyFill="1" applyBorder="1" applyAlignment="1"/>
    <xf numFmtId="164" fontId="13" fillId="0" borderId="0" xfId="1" applyFont="1" applyFill="1" applyBorder="1" applyAlignment="1"/>
    <xf numFmtId="164" fontId="13" fillId="0" borderId="15" xfId="1" applyFont="1" applyFill="1" applyBorder="1" applyAlignment="1">
      <alignment vertical="center"/>
    </xf>
    <xf numFmtId="164" fontId="13" fillId="0" borderId="0" xfId="1" applyFont="1" applyFill="1" applyBorder="1" applyAlignment="1">
      <alignment vertical="center"/>
    </xf>
    <xf numFmtId="164" fontId="13" fillId="0" borderId="0" xfId="1" applyFont="1" applyFill="1" applyBorder="1" applyAlignment="1">
      <alignment vertical="center" wrapText="1"/>
    </xf>
    <xf numFmtId="164" fontId="13" fillId="0" borderId="0" xfId="1" applyFont="1" applyFill="1" applyBorder="1" applyAlignment="1">
      <alignment wrapText="1"/>
    </xf>
    <xf numFmtId="0" fontId="19" fillId="0" borderId="13" xfId="0" applyFont="1" applyFill="1" applyBorder="1" applyAlignment="1"/>
    <xf numFmtId="0" fontId="30" fillId="0" borderId="13" xfId="0" applyFont="1" applyFill="1" applyBorder="1" applyAlignment="1">
      <alignment horizontal="left" vertical="top" wrapText="1"/>
    </xf>
    <xf numFmtId="0" fontId="30" fillId="0" borderId="13" xfId="15" applyFont="1" applyFill="1" applyBorder="1" applyAlignment="1">
      <alignment vertical="top" wrapText="1"/>
    </xf>
    <xf numFmtId="0" fontId="47" fillId="0" borderId="0" xfId="15" applyNumberFormat="1" applyFont="1" applyBorder="1" applyAlignment="1">
      <alignment wrapText="1"/>
    </xf>
    <xf numFmtId="0" fontId="15" fillId="0" borderId="0" xfId="0" applyFont="1" applyFill="1" applyBorder="1" applyAlignment="1">
      <alignment horizontal="left" vertical="center" wrapText="1"/>
    </xf>
    <xf numFmtId="0" fontId="15" fillId="0" borderId="0" xfId="0" applyFont="1" applyFill="1" applyBorder="1" applyAlignment="1">
      <alignment horizontal="left"/>
    </xf>
    <xf numFmtId="0" fontId="15" fillId="0" borderId="0" xfId="0" applyFont="1" applyFill="1" applyBorder="1" applyAlignment="1">
      <alignment horizontal="left" wrapText="1"/>
    </xf>
    <xf numFmtId="0" fontId="15" fillId="0" borderId="0" xfId="0" applyFont="1" applyFill="1" applyBorder="1" applyAlignment="1">
      <alignment horizontal="left" vertical="top" wrapText="1"/>
    </xf>
    <xf numFmtId="0" fontId="15" fillId="0" borderId="0" xfId="0" applyFont="1" applyFill="1" applyBorder="1" applyAlignment="1">
      <alignment wrapText="1"/>
    </xf>
    <xf numFmtId="164" fontId="13" fillId="0" borderId="0" xfId="1" applyFont="1" applyAlignment="1">
      <alignment horizontal="center"/>
    </xf>
    <xf numFmtId="164" fontId="46" fillId="0" borderId="0" xfId="1" applyFont="1" applyAlignment="1">
      <alignment horizontal="center"/>
    </xf>
    <xf numFmtId="168" fontId="31" fillId="0" borderId="0" xfId="21" applyNumberFormat="1" applyFont="1" applyBorder="1" applyAlignment="1">
      <alignment horizontal="center" vertical="center" wrapText="1"/>
    </xf>
    <xf numFmtId="168" fontId="31" fillId="0" borderId="0" xfId="21" applyNumberFormat="1" applyFont="1" applyFill="1" applyBorder="1" applyAlignment="1">
      <alignment horizontal="center"/>
    </xf>
    <xf numFmtId="168" fontId="13" fillId="0" borderId="0" xfId="21" applyNumberFormat="1" applyFont="1" applyFill="1" applyBorder="1" applyAlignment="1"/>
    <xf numFmtId="168" fontId="32" fillId="0" borderId="0" xfId="21" applyNumberFormat="1" applyFont="1" applyFill="1" applyBorder="1" applyAlignment="1">
      <alignment vertical="center"/>
    </xf>
    <xf numFmtId="168" fontId="13" fillId="0" borderId="0" xfId="21" applyNumberFormat="1" applyFont="1" applyFill="1" applyBorder="1" applyAlignment="1">
      <alignment vertical="center"/>
    </xf>
    <xf numFmtId="168" fontId="31" fillId="0" borderId="0" xfId="21" applyNumberFormat="1" applyFont="1" applyFill="1" applyBorder="1" applyAlignment="1">
      <alignment vertical="center"/>
    </xf>
    <xf numFmtId="168" fontId="31" fillId="0" borderId="0" xfId="21" applyNumberFormat="1" applyFont="1" applyFill="1" applyBorder="1" applyAlignment="1">
      <alignment vertical="center" wrapText="1"/>
    </xf>
    <xf numFmtId="168" fontId="13" fillId="0" borderId="0" xfId="21" applyNumberFormat="1" applyFont="1" applyFill="1" applyBorder="1" applyAlignment="1">
      <alignment vertical="center" wrapText="1"/>
    </xf>
    <xf numFmtId="168" fontId="32" fillId="0" borderId="0" xfId="21" applyNumberFormat="1" applyFont="1" applyFill="1" applyBorder="1" applyAlignment="1">
      <alignment wrapText="1"/>
    </xf>
    <xf numFmtId="168" fontId="13" fillId="0" borderId="0" xfId="21" applyNumberFormat="1" applyFont="1" applyFill="1" applyBorder="1" applyAlignment="1">
      <alignment wrapText="1"/>
    </xf>
    <xf numFmtId="168" fontId="31" fillId="0" borderId="0" xfId="21" applyNumberFormat="1" applyFont="1" applyFill="1" applyBorder="1" applyAlignment="1">
      <alignment wrapText="1"/>
    </xf>
    <xf numFmtId="168" fontId="32" fillId="0" borderId="0" xfId="21" applyNumberFormat="1" applyFont="1" applyFill="1" applyBorder="1" applyAlignment="1">
      <alignment horizontal="left" vertical="top" wrapText="1"/>
    </xf>
    <xf numFmtId="168" fontId="15" fillId="0" borderId="0" xfId="21" applyNumberFormat="1" applyFont="1" applyFill="1" applyBorder="1" applyAlignment="1">
      <alignment horizontal="left" vertical="center" wrapText="1"/>
    </xf>
    <xf numFmtId="168" fontId="15" fillId="0" borderId="0" xfId="21" applyNumberFormat="1" applyFont="1" applyFill="1" applyBorder="1" applyAlignment="1">
      <alignment horizontal="left"/>
    </xf>
    <xf numFmtId="168" fontId="15" fillId="0" borderId="0" xfId="21" applyNumberFormat="1" applyFont="1" applyFill="1" applyBorder="1" applyAlignment="1">
      <alignment wrapText="1"/>
    </xf>
    <xf numFmtId="168" fontId="16" fillId="0" borderId="0" xfId="21" applyNumberFormat="1" applyFont="1" applyFill="1" applyBorder="1" applyAlignment="1">
      <alignment wrapText="1"/>
    </xf>
    <xf numFmtId="168" fontId="15" fillId="0" borderId="0" xfId="21" applyNumberFormat="1" applyFont="1" applyFill="1" applyBorder="1" applyAlignment="1">
      <alignment horizontal="left" vertical="top" wrapText="1"/>
    </xf>
    <xf numFmtId="168" fontId="15" fillId="0" borderId="0" xfId="21" applyNumberFormat="1" applyFont="1" applyFill="1" applyBorder="1" applyAlignment="1">
      <alignment horizontal="left" wrapText="1"/>
    </xf>
    <xf numFmtId="168" fontId="32" fillId="0" borderId="0" xfId="21" applyNumberFormat="1" applyFont="1" applyBorder="1" applyAlignment="1"/>
    <xf numFmtId="168" fontId="32" fillId="0" borderId="0" xfId="21" applyNumberFormat="1" applyFont="1" applyBorder="1" applyAlignment="1">
      <alignment horizontal="right" vertical="top"/>
    </xf>
    <xf numFmtId="168" fontId="25" fillId="0" borderId="0" xfId="21" applyNumberFormat="1" applyFont="1" applyBorder="1" applyAlignment="1" applyProtection="1">
      <alignment horizontal="center" vertical="center" wrapText="1"/>
      <protection locked="0"/>
    </xf>
    <xf numFmtId="164" fontId="31" fillId="0" borderId="0" xfId="1" applyFont="1" applyBorder="1" applyAlignment="1">
      <alignment horizontal="center" wrapText="1"/>
    </xf>
    <xf numFmtId="164" fontId="15" fillId="0" borderId="0" xfId="1" applyFont="1" applyFill="1" applyBorder="1" applyAlignment="1"/>
    <xf numFmtId="164" fontId="25" fillId="0" borderId="0" xfId="1" applyFont="1" applyBorder="1" applyAlignment="1" applyProtection="1">
      <alignment horizontal="center" vertical="center" wrapText="1"/>
      <protection locked="0"/>
    </xf>
    <xf numFmtId="4" fontId="15" fillId="0" borderId="13" xfId="0" applyNumberFormat="1" applyFont="1" applyFill="1" applyBorder="1" applyAlignment="1">
      <alignment horizontal="left" vertical="center" wrapText="1"/>
    </xf>
    <xf numFmtId="164" fontId="23" fillId="3" borderId="13" xfId="2" applyFont="1" applyFill="1" applyBorder="1" applyAlignment="1">
      <alignment horizontal="center" vertical="center"/>
    </xf>
    <xf numFmtId="0" fontId="42" fillId="3" borderId="13" xfId="15" applyFont="1" applyFill="1" applyBorder="1" applyAlignment="1"/>
    <xf numFmtId="164" fontId="23" fillId="3" borderId="24" xfId="2" applyFont="1" applyFill="1" applyBorder="1" applyAlignment="1" applyProtection="1">
      <alignment horizontal="center" vertical="center"/>
    </xf>
    <xf numFmtId="0" fontId="23" fillId="3" borderId="13" xfId="18" applyFont="1" applyFill="1" applyBorder="1" applyAlignment="1">
      <alignment horizontal="center" vertical="center"/>
    </xf>
    <xf numFmtId="164" fontId="23" fillId="3" borderId="13" xfId="2" applyFont="1" applyFill="1" applyBorder="1" applyAlignment="1">
      <alignment vertical="center"/>
    </xf>
    <xf numFmtId="164" fontId="37" fillId="3" borderId="0" xfId="2" applyFont="1" applyFill="1" applyBorder="1" applyAlignment="1">
      <alignment vertical="center"/>
    </xf>
    <xf numFmtId="166" fontId="23" fillId="3" borderId="0" xfId="2" applyNumberFormat="1" applyFont="1" applyFill="1" applyBorder="1" applyAlignment="1">
      <alignment vertical="center"/>
    </xf>
    <xf numFmtId="0" fontId="23" fillId="3" borderId="0" xfId="18" applyFont="1" applyFill="1" applyAlignment="1">
      <alignment vertical="center"/>
    </xf>
    <xf numFmtId="164" fontId="13" fillId="0" borderId="13" xfId="25" applyFont="1" applyFill="1" applyBorder="1" applyAlignment="1" applyProtection="1">
      <alignment horizontal="center" vertical="center"/>
    </xf>
    <xf numFmtId="0" fontId="13" fillId="0" borderId="13" xfId="18" applyFont="1" applyFill="1" applyBorder="1" applyAlignment="1">
      <alignment horizontal="center" vertical="center"/>
    </xf>
    <xf numFmtId="164" fontId="15" fillId="0" borderId="13" xfId="1" applyFont="1" applyFill="1" applyBorder="1" applyAlignment="1">
      <alignment vertical="center"/>
    </xf>
    <xf numFmtId="4" fontId="15" fillId="3" borderId="13" xfId="0" applyNumberFormat="1" applyFont="1" applyFill="1" applyBorder="1" applyAlignment="1">
      <alignment horizontal="left" vertical="top" wrapText="1"/>
    </xf>
    <xf numFmtId="0" fontId="15" fillId="0" borderId="13" xfId="6" applyFont="1" applyFill="1" applyBorder="1" applyAlignment="1">
      <alignment horizontal="left" vertical="top" wrapText="1"/>
    </xf>
    <xf numFmtId="4" fontId="16" fillId="0" borderId="13" xfId="0" applyNumberFormat="1" applyFont="1" applyFill="1" applyBorder="1" applyAlignment="1">
      <alignment horizontal="left" wrapText="1"/>
    </xf>
    <xf numFmtId="4" fontId="15" fillId="0" borderId="13" xfId="0" applyNumberFormat="1" applyFont="1" applyFill="1" applyBorder="1" applyAlignment="1">
      <alignment horizontal="center" vertical="center" wrapText="1"/>
    </xf>
    <xf numFmtId="4" fontId="15" fillId="0" borderId="13" xfId="0" applyNumberFormat="1" applyFont="1" applyFill="1" applyBorder="1" applyAlignment="1">
      <alignment horizontal="center" vertical="center"/>
    </xf>
    <xf numFmtId="164" fontId="15" fillId="0" borderId="13" xfId="1" applyFont="1" applyFill="1" applyBorder="1" applyAlignment="1">
      <alignment horizontal="center" vertical="center"/>
    </xf>
    <xf numFmtId="164" fontId="31" fillId="0" borderId="0" xfId="1" applyFont="1" applyBorder="1" applyAlignment="1">
      <alignment horizontal="center" vertical="center" wrapText="1"/>
    </xf>
    <xf numFmtId="164" fontId="32" fillId="0" borderId="0" xfId="1" applyFont="1" applyFill="1" applyBorder="1" applyAlignment="1">
      <alignment horizontal="left" vertical="top" wrapText="1"/>
    </xf>
    <xf numFmtId="164" fontId="15" fillId="0" borderId="0" xfId="1" applyFont="1" applyFill="1" applyBorder="1" applyAlignment="1">
      <alignment horizontal="left" vertical="center" wrapText="1"/>
    </xf>
    <xf numFmtId="164" fontId="15" fillId="0" borderId="0" xfId="1" applyFont="1" applyFill="1" applyBorder="1" applyAlignment="1">
      <alignment horizontal="left"/>
    </xf>
    <xf numFmtId="164" fontId="15" fillId="0" borderId="0" xfId="1" applyFont="1" applyFill="1" applyBorder="1" applyAlignment="1">
      <alignment wrapText="1"/>
    </xf>
    <xf numFmtId="164" fontId="15" fillId="0" borderId="0" xfId="1" applyFont="1" applyFill="1" applyBorder="1" applyAlignment="1">
      <alignment horizontal="left" vertical="top" wrapText="1"/>
    </xf>
    <xf numFmtId="4" fontId="15" fillId="0" borderId="32" xfId="0" applyNumberFormat="1" applyFont="1" applyFill="1" applyBorder="1" applyAlignment="1">
      <alignment horizontal="justify" vertical="top" wrapText="1"/>
    </xf>
    <xf numFmtId="4" fontId="16" fillId="0" borderId="33" xfId="0" applyNumberFormat="1" applyFont="1" applyFill="1" applyBorder="1" applyAlignment="1">
      <alignment horizontal="justify" vertical="top" wrapText="1"/>
    </xf>
    <xf numFmtId="4" fontId="19" fillId="0" borderId="32" xfId="0" applyNumberFormat="1" applyFont="1" applyFill="1" applyBorder="1" applyAlignment="1">
      <alignment horizontal="justify" vertical="top" wrapText="1"/>
    </xf>
    <xf numFmtId="4" fontId="15" fillId="0" borderId="33" xfId="0" applyNumberFormat="1" applyFont="1" applyFill="1" applyBorder="1" applyAlignment="1">
      <alignment horizontal="justify" vertical="center" wrapText="1"/>
    </xf>
    <xf numFmtId="4" fontId="15" fillId="0" borderId="33" xfId="0" applyNumberFormat="1" applyFont="1" applyFill="1" applyBorder="1" applyAlignment="1">
      <alignment horizontal="center" vertical="top" wrapText="1"/>
    </xf>
    <xf numFmtId="4" fontId="15" fillId="0" borderId="32" xfId="0" applyNumberFormat="1" applyFont="1" applyFill="1" applyBorder="1" applyAlignment="1">
      <alignment horizontal="center" vertical="top" wrapText="1"/>
    </xf>
    <xf numFmtId="0" fontId="40" fillId="3" borderId="33" xfId="15" applyFont="1" applyFill="1" applyBorder="1" applyAlignment="1">
      <alignment vertical="top" wrapText="1"/>
    </xf>
    <xf numFmtId="0" fontId="30" fillId="0" borderId="32" xfId="0" applyFont="1" applyFill="1" applyBorder="1" applyAlignment="1">
      <alignment horizontal="left" vertical="top" wrapText="1"/>
    </xf>
    <xf numFmtId="4" fontId="15" fillId="0" borderId="13" xfId="0" applyNumberFormat="1" applyFont="1" applyFill="1" applyBorder="1" applyAlignment="1">
      <alignment horizontal="center" vertical="center" wrapText="1"/>
    </xf>
    <xf numFmtId="4" fontId="15" fillId="0" borderId="13" xfId="0" applyNumberFormat="1" applyFont="1" applyFill="1" applyBorder="1" applyAlignment="1">
      <alignment horizontal="center" vertical="center"/>
    </xf>
    <xf numFmtId="164" fontId="15" fillId="0" borderId="13" xfId="1" applyFont="1" applyFill="1" applyBorder="1" applyAlignment="1">
      <alignment horizontal="center" vertical="center"/>
    </xf>
    <xf numFmtId="0" fontId="30" fillId="0" borderId="13" xfId="0" applyFont="1" applyFill="1" applyBorder="1" applyAlignment="1">
      <alignment horizontal="left" vertical="top"/>
    </xf>
    <xf numFmtId="4" fontId="16" fillId="0" borderId="12" xfId="0" applyNumberFormat="1" applyFont="1" applyBorder="1" applyAlignment="1">
      <alignment horizontal="left" vertical="top"/>
    </xf>
    <xf numFmtId="4" fontId="16" fillId="0" borderId="0" xfId="0" applyNumberFormat="1" applyFont="1" applyBorder="1" applyAlignment="1">
      <alignment horizontal="center" vertical="top"/>
    </xf>
    <xf numFmtId="0" fontId="15" fillId="0" borderId="0" xfId="0" applyFont="1" applyFill="1" applyBorder="1" applyAlignment="1">
      <alignment horizontal="left" wrapText="1"/>
    </xf>
    <xf numFmtId="4" fontId="32" fillId="3" borderId="13" xfId="0" applyNumberFormat="1" applyFont="1" applyFill="1" applyBorder="1" applyAlignment="1">
      <alignment horizontal="justify" vertical="center" wrapText="1"/>
    </xf>
    <xf numFmtId="4" fontId="15" fillId="3" borderId="0" xfId="0" applyNumberFormat="1" applyFont="1" applyFill="1" applyBorder="1" applyAlignment="1">
      <alignment vertical="center"/>
    </xf>
    <xf numFmtId="164" fontId="51" fillId="0" borderId="6" xfId="2" applyNumberFormat="1" applyFont="1" applyBorder="1"/>
    <xf numFmtId="0" fontId="51" fillId="0" borderId="8" xfId="12" applyFont="1" applyBorder="1"/>
    <xf numFmtId="0" fontId="51" fillId="0" borderId="0" xfId="12" applyFont="1" applyBorder="1"/>
    <xf numFmtId="0" fontId="51" fillId="0" borderId="0" xfId="12" applyFont="1"/>
    <xf numFmtId="164" fontId="51" fillId="0" borderId="33" xfId="2" applyNumberFormat="1" applyFont="1" applyBorder="1"/>
    <xf numFmtId="164" fontId="51" fillId="0" borderId="12" xfId="2" applyNumberFormat="1" applyFont="1" applyBorder="1"/>
    <xf numFmtId="0" fontId="51" fillId="0" borderId="12" xfId="12" applyFont="1" applyBorder="1"/>
    <xf numFmtId="43" fontId="51" fillId="0" borderId="0" xfId="12" applyNumberFormat="1" applyFont="1"/>
    <xf numFmtId="164" fontId="51" fillId="0" borderId="0" xfId="2" applyNumberFormat="1" applyFont="1"/>
    <xf numFmtId="4" fontId="15" fillId="0" borderId="0" xfId="0" applyNumberFormat="1" applyFont="1" applyFill="1" applyBorder="1" applyAlignment="1">
      <alignment horizontal="left" vertical="center"/>
    </xf>
    <xf numFmtId="4" fontId="15" fillId="0" borderId="0" xfId="0" applyNumberFormat="1" applyFont="1" applyBorder="1" applyAlignment="1">
      <alignment horizontal="left" vertical="center"/>
    </xf>
    <xf numFmtId="4" fontId="15" fillId="3" borderId="0" xfId="0" applyNumberFormat="1" applyFont="1" applyFill="1" applyBorder="1" applyAlignment="1">
      <alignment horizontal="left" vertical="center"/>
    </xf>
    <xf numFmtId="164" fontId="15" fillId="0" borderId="33" xfId="29" applyFont="1" applyFill="1" applyBorder="1" applyAlignment="1">
      <alignment horizontal="center" vertical="center"/>
    </xf>
    <xf numFmtId="164" fontId="15" fillId="0" borderId="32" xfId="29" applyFont="1" applyFill="1" applyBorder="1" applyAlignment="1">
      <alignment horizontal="center" vertical="center"/>
    </xf>
    <xf numFmtId="0" fontId="15" fillId="0" borderId="14" xfId="30" applyFont="1" applyFill="1" applyBorder="1" applyAlignment="1">
      <alignment horizontal="left" vertical="top" wrapText="1"/>
    </xf>
    <xf numFmtId="165" fontId="15" fillId="0" borderId="13" xfId="30" applyNumberFormat="1" applyFont="1" applyFill="1" applyBorder="1" applyAlignment="1">
      <alignment horizontal="center" vertical="center" wrapText="1"/>
    </xf>
    <xf numFmtId="0" fontId="15" fillId="0" borderId="13" xfId="0" applyFont="1" applyFill="1" applyBorder="1" applyAlignment="1" applyProtection="1">
      <alignment horizontal="center" vertical="center" wrapText="1"/>
    </xf>
    <xf numFmtId="164" fontId="15" fillId="0" borderId="13" xfId="2" applyFont="1" applyFill="1" applyBorder="1" applyAlignment="1">
      <alignment horizontal="center" vertical="center" wrapText="1"/>
    </xf>
    <xf numFmtId="43" fontId="15" fillId="0" borderId="13" xfId="31" applyNumberFormat="1" applyFont="1" applyFill="1" applyBorder="1" applyAlignment="1">
      <alignment horizontal="center" vertical="center" wrapText="1"/>
    </xf>
    <xf numFmtId="165" fontId="15" fillId="0" borderId="13" xfId="30" applyNumberFormat="1" applyFont="1" applyFill="1" applyBorder="1" applyAlignment="1">
      <alignment horizontal="left" vertical="top" wrapText="1"/>
    </xf>
    <xf numFmtId="0" fontId="15" fillId="0" borderId="13" xfId="30" applyFont="1" applyFill="1" applyBorder="1" applyAlignment="1">
      <alignment horizontal="left" vertical="top" wrapText="1"/>
    </xf>
    <xf numFmtId="4" fontId="32" fillId="3" borderId="13" xfId="0" applyNumberFormat="1" applyFont="1" applyFill="1" applyBorder="1" applyAlignment="1">
      <alignment horizontal="left" vertical="center" wrapText="1"/>
    </xf>
    <xf numFmtId="169" fontId="15" fillId="0" borderId="0" xfId="0" applyNumberFormat="1" applyFont="1" applyBorder="1" applyAlignment="1">
      <alignment horizontal="center" vertical="center"/>
    </xf>
    <xf numFmtId="4" fontId="15" fillId="3" borderId="33" xfId="0" applyNumberFormat="1" applyFont="1" applyFill="1" applyBorder="1" applyAlignment="1">
      <alignment horizontal="center" vertical="center"/>
    </xf>
    <xf numFmtId="0" fontId="15" fillId="0" borderId="78" xfId="30" applyFont="1" applyFill="1" applyBorder="1" applyAlignment="1">
      <alignment horizontal="left" vertical="top" wrapText="1"/>
    </xf>
    <xf numFmtId="0" fontId="15" fillId="0" borderId="0" xfId="15" applyFont="1" applyFill="1" applyAlignment="1">
      <alignment horizontal="left"/>
    </xf>
    <xf numFmtId="0" fontId="32" fillId="0" borderId="0" xfId="32" applyFont="1" applyFill="1" applyBorder="1" applyAlignment="1">
      <alignment horizontal="left" vertical="top" wrapText="1"/>
    </xf>
    <xf numFmtId="1" fontId="16" fillId="0" borderId="12" xfId="32" applyNumberFormat="1" applyFont="1" applyFill="1" applyBorder="1" applyAlignment="1">
      <alignment horizontal="center" vertical="center" wrapText="1"/>
    </xf>
    <xf numFmtId="0" fontId="16" fillId="0" borderId="26" xfId="32" applyFont="1" applyFill="1" applyBorder="1" applyAlignment="1">
      <alignment horizontal="center" vertical="center" wrapText="1"/>
    </xf>
    <xf numFmtId="165" fontId="16" fillId="0" borderId="12" xfId="2" applyNumberFormat="1" applyFont="1" applyFill="1" applyBorder="1" applyAlignment="1">
      <alignment horizontal="center" vertical="center" wrapText="1"/>
    </xf>
    <xf numFmtId="0" fontId="16" fillId="0" borderId="12" xfId="32" applyFont="1" applyFill="1" applyBorder="1" applyAlignment="1">
      <alignment horizontal="center" vertical="center" wrapText="1"/>
    </xf>
    <xf numFmtId="164" fontId="16" fillId="0" borderId="12" xfId="33" applyFont="1" applyFill="1" applyBorder="1" applyAlignment="1">
      <alignment horizontal="center" vertical="center" wrapText="1"/>
    </xf>
    <xf numFmtId="4" fontId="16" fillId="0" borderId="12" xfId="2" applyNumberFormat="1" applyFont="1" applyFill="1" applyBorder="1" applyAlignment="1">
      <alignment horizontal="center" vertical="center" wrapText="1"/>
    </xf>
    <xf numFmtId="0" fontId="15" fillId="0" borderId="0" xfId="6" applyFont="1" applyFill="1" applyAlignment="1">
      <alignment horizontal="center" vertical="center" wrapText="1"/>
    </xf>
    <xf numFmtId="0" fontId="15" fillId="0" borderId="0" xfId="6" applyFont="1" applyFill="1" applyAlignment="1">
      <alignment vertical="center" wrapText="1"/>
    </xf>
    <xf numFmtId="1" fontId="16" fillId="0" borderId="13" xfId="32" applyNumberFormat="1" applyFont="1" applyFill="1" applyBorder="1" applyAlignment="1">
      <alignment horizontal="center" vertical="center" wrapText="1"/>
    </xf>
    <xf numFmtId="0" fontId="16" fillId="0" borderId="0" xfId="32" applyFont="1" applyFill="1" applyBorder="1" applyAlignment="1">
      <alignment horizontal="center" vertical="center" wrapText="1"/>
    </xf>
    <xf numFmtId="165" fontId="16" fillId="0" borderId="13" xfId="2" applyNumberFormat="1" applyFont="1" applyFill="1" applyBorder="1" applyAlignment="1">
      <alignment horizontal="center" vertical="center" wrapText="1"/>
    </xf>
    <xf numFmtId="0" fontId="16" fillId="0" borderId="13" xfId="32" applyFont="1" applyFill="1" applyBorder="1" applyAlignment="1">
      <alignment horizontal="center" vertical="center" wrapText="1"/>
    </xf>
    <xf numFmtId="164" fontId="16" fillId="0" borderId="13" xfId="33" applyFont="1" applyFill="1" applyBorder="1" applyAlignment="1">
      <alignment horizontal="center" vertical="center" wrapText="1"/>
    </xf>
    <xf numFmtId="4" fontId="16" fillId="0" borderId="13" xfId="2" applyNumberFormat="1" applyFont="1" applyFill="1" applyBorder="1" applyAlignment="1">
      <alignment horizontal="center" vertical="center" wrapText="1"/>
    </xf>
    <xf numFmtId="1" fontId="19" fillId="0" borderId="13" xfId="15" applyNumberFormat="1" applyFont="1" applyFill="1" applyBorder="1" applyAlignment="1">
      <alignment vertical="center" wrapText="1"/>
    </xf>
    <xf numFmtId="0" fontId="18" fillId="0" borderId="0" xfId="15" applyFont="1" applyFill="1" applyBorder="1" applyAlignment="1">
      <alignment vertical="center" wrapText="1"/>
    </xf>
    <xf numFmtId="165" fontId="15" fillId="0" borderId="13" xfId="2" applyNumberFormat="1" applyFont="1" applyFill="1" applyBorder="1" applyAlignment="1">
      <alignment horizontal="center" vertical="center" wrapText="1"/>
    </xf>
    <xf numFmtId="164" fontId="16" fillId="0" borderId="13" xfId="2" applyFont="1" applyFill="1" applyBorder="1" applyAlignment="1">
      <alignment horizontal="center" vertical="center" wrapText="1"/>
    </xf>
    <xf numFmtId="0" fontId="15" fillId="0" borderId="0" xfId="6" applyFont="1" applyFill="1" applyBorder="1" applyAlignment="1">
      <alignment horizontal="center" vertical="center" wrapText="1"/>
    </xf>
    <xf numFmtId="0" fontId="15" fillId="0" borderId="0" xfId="6" applyFont="1" applyFill="1" applyBorder="1" applyAlignment="1">
      <alignment wrapText="1"/>
    </xf>
    <xf numFmtId="0" fontId="19" fillId="0" borderId="0" xfId="15" applyFont="1" applyFill="1" applyBorder="1" applyAlignment="1">
      <alignment vertical="center" wrapText="1"/>
    </xf>
    <xf numFmtId="1" fontId="16" fillId="0" borderId="13" xfId="15" applyNumberFormat="1" applyFont="1" applyFill="1" applyBorder="1" applyAlignment="1">
      <alignment horizontal="center" vertical="center" wrapText="1"/>
    </xf>
    <xf numFmtId="0" fontId="15" fillId="0" borderId="0" xfId="15" applyFont="1" applyFill="1" applyBorder="1" applyAlignment="1">
      <alignment vertical="top" wrapText="1"/>
    </xf>
    <xf numFmtId="1" fontId="16" fillId="0" borderId="13" xfId="15" applyNumberFormat="1" applyFont="1" applyFill="1" applyBorder="1" applyAlignment="1">
      <alignment horizontal="center" vertical="top" wrapText="1"/>
    </xf>
    <xf numFmtId="0" fontId="15" fillId="0" borderId="0" xfId="15" applyFont="1" applyFill="1" applyBorder="1" applyAlignment="1">
      <alignment vertical="center" wrapText="1"/>
    </xf>
    <xf numFmtId="39" fontId="15" fillId="0" borderId="13" xfId="2" applyNumberFormat="1" applyFont="1" applyFill="1" applyBorder="1" applyAlignment="1">
      <alignment horizontal="center" vertical="center" wrapText="1"/>
    </xf>
    <xf numFmtId="0" fontId="15" fillId="0" borderId="0" xfId="6" applyFont="1" applyFill="1" applyBorder="1" applyAlignment="1">
      <alignment vertical="center" wrapText="1"/>
    </xf>
    <xf numFmtId="0" fontId="15" fillId="0" borderId="0" xfId="15" applyFont="1" applyFill="1" applyBorder="1" applyAlignment="1">
      <alignment vertical="top"/>
    </xf>
    <xf numFmtId="1" fontId="16" fillId="0" borderId="13" xfId="30" applyNumberFormat="1" applyFont="1" applyBorder="1" applyAlignment="1">
      <alignment horizontal="center" vertical="center" wrapText="1"/>
    </xf>
    <xf numFmtId="0" fontId="15" fillId="0" borderId="14" xfId="6" applyFont="1" applyFill="1" applyBorder="1" applyAlignment="1">
      <alignment horizontal="left" vertical="center" wrapText="1"/>
    </xf>
    <xf numFmtId="0" fontId="15" fillId="0" borderId="13" xfId="15" applyFont="1" applyBorder="1" applyAlignment="1">
      <alignment horizontal="center" vertical="center" wrapText="1"/>
    </xf>
    <xf numFmtId="164" fontId="15" fillId="0" borderId="13" xfId="2" applyFont="1" applyBorder="1" applyAlignment="1">
      <alignment horizontal="center" vertical="center" wrapText="1"/>
    </xf>
    <xf numFmtId="43" fontId="15" fillId="0" borderId="13" xfId="31" applyNumberFormat="1" applyFont="1" applyBorder="1" applyAlignment="1">
      <alignment horizontal="center" vertical="top" wrapText="1"/>
    </xf>
    <xf numFmtId="0" fontId="15" fillId="0" borderId="0" xfId="6" applyFont="1" applyAlignment="1">
      <alignment horizontal="center" vertical="center" wrapText="1"/>
    </xf>
    <xf numFmtId="0" fontId="15" fillId="0" borderId="0" xfId="6" applyFont="1" applyAlignment="1">
      <alignment wrapText="1"/>
    </xf>
    <xf numFmtId="1" fontId="15" fillId="0" borderId="13" xfId="15" applyNumberFormat="1" applyFont="1" applyFill="1" applyBorder="1" applyAlignment="1">
      <alignment horizontal="center" wrapText="1"/>
    </xf>
    <xf numFmtId="0" fontId="16" fillId="0" borderId="0" xfId="15" applyFont="1" applyFill="1" applyBorder="1" applyAlignment="1">
      <alignment vertical="center" wrapText="1"/>
    </xf>
    <xf numFmtId="1" fontId="16" fillId="0" borderId="13" xfId="15" applyNumberFormat="1" applyFont="1" applyFill="1" applyBorder="1" applyAlignment="1">
      <alignment vertical="center" wrapText="1"/>
    </xf>
    <xf numFmtId="164" fontId="15" fillId="0" borderId="13" xfId="2" applyFont="1" applyFill="1" applyBorder="1" applyAlignment="1" applyProtection="1">
      <alignment horizontal="center" vertical="center" wrapText="1"/>
    </xf>
    <xf numFmtId="1" fontId="16" fillId="0" borderId="13" xfId="15" applyNumberFormat="1" applyFont="1" applyFill="1" applyBorder="1" applyAlignment="1">
      <alignment vertical="top" wrapText="1"/>
    </xf>
    <xf numFmtId="0" fontId="16" fillId="0" borderId="0" xfId="15" applyFont="1" applyFill="1" applyBorder="1" applyAlignment="1">
      <alignment vertical="top" wrapText="1"/>
    </xf>
    <xf numFmtId="0" fontId="15" fillId="0" borderId="13" xfId="30" applyFont="1" applyFill="1" applyBorder="1" applyAlignment="1">
      <alignment horizontal="center" vertical="center" wrapText="1"/>
    </xf>
    <xf numFmtId="0" fontId="16" fillId="0" borderId="13" xfId="15" applyFont="1" applyFill="1" applyBorder="1" applyAlignment="1" applyProtection="1">
      <alignment horizontal="center" vertical="center" wrapText="1"/>
    </xf>
    <xf numFmtId="0" fontId="15" fillId="0" borderId="13" xfId="15" applyFont="1" applyFill="1" applyBorder="1" applyAlignment="1" applyProtection="1">
      <alignment horizontal="center" vertical="center" wrapText="1"/>
    </xf>
    <xf numFmtId="164" fontId="15" fillId="0" borderId="0" xfId="6" applyNumberFormat="1" applyFont="1" applyFill="1" applyBorder="1" applyAlignment="1">
      <alignment wrapText="1"/>
    </xf>
    <xf numFmtId="2" fontId="15" fillId="0" borderId="0" xfId="30" applyNumberFormat="1" applyFont="1" applyFill="1" applyBorder="1" applyAlignment="1">
      <alignment horizontal="center" wrapText="1"/>
    </xf>
    <xf numFmtId="0" fontId="16" fillId="0" borderId="14" xfId="15" applyFont="1" applyFill="1" applyBorder="1" applyAlignment="1">
      <alignment vertical="center" wrapText="1"/>
    </xf>
    <xf numFmtId="0" fontId="16" fillId="0" borderId="0" xfId="15" applyFont="1" applyFill="1" applyBorder="1" applyAlignment="1">
      <alignment vertical="center"/>
    </xf>
    <xf numFmtId="1" fontId="15" fillId="0" borderId="13" xfId="30" applyNumberFormat="1" applyFont="1" applyFill="1" applyBorder="1" applyAlignment="1">
      <alignment horizontal="center" vertical="center" wrapText="1"/>
    </xf>
    <xf numFmtId="43" fontId="15" fillId="0" borderId="13" xfId="31" applyNumberFormat="1" applyFont="1" applyFill="1" applyBorder="1" applyAlignment="1">
      <alignment horizontal="center" vertical="top" wrapText="1"/>
    </xf>
    <xf numFmtId="0" fontId="15" fillId="0" borderId="14" xfId="6" applyFont="1" applyFill="1" applyBorder="1" applyAlignment="1" applyProtection="1">
      <alignment horizontal="left" vertical="center" wrapText="1"/>
    </xf>
    <xf numFmtId="1" fontId="15" fillId="0" borderId="13" xfId="6" applyNumberFormat="1" applyFont="1" applyFill="1" applyBorder="1" applyAlignment="1">
      <alignment horizontal="center" vertical="center"/>
    </xf>
    <xf numFmtId="0" fontId="16" fillId="0" borderId="14" xfId="30" quotePrefix="1" applyFont="1" applyFill="1" applyBorder="1" applyAlignment="1">
      <alignment horizontal="left" vertical="center" wrapText="1"/>
    </xf>
    <xf numFmtId="0" fontId="15" fillId="2" borderId="0" xfId="6" applyFont="1" applyFill="1" applyBorder="1" applyAlignment="1">
      <alignment horizontal="center" vertical="center" wrapText="1"/>
    </xf>
    <xf numFmtId="0" fontId="15" fillId="2" borderId="0" xfId="6" applyFont="1" applyFill="1" applyBorder="1" applyAlignment="1">
      <alignment wrapText="1"/>
    </xf>
    <xf numFmtId="0" fontId="16" fillId="0" borderId="14" xfId="6" applyFont="1" applyFill="1" applyBorder="1" applyAlignment="1">
      <alignment horizontal="left" vertical="top" wrapText="1"/>
    </xf>
    <xf numFmtId="0" fontId="15" fillId="0" borderId="14" xfId="15" applyFont="1" applyFill="1" applyBorder="1"/>
    <xf numFmtId="0" fontId="15" fillId="0" borderId="14" xfId="6" applyFont="1" applyFill="1" applyBorder="1" applyAlignment="1">
      <alignment horizontal="justify" vertical="top" wrapText="1"/>
    </xf>
    <xf numFmtId="0" fontId="15" fillId="0" borderId="14" xfId="15" applyFont="1" applyFill="1" applyBorder="1" applyAlignment="1">
      <alignment wrapText="1"/>
    </xf>
    <xf numFmtId="0" fontId="16" fillId="0" borderId="14" xfId="30" applyFont="1" applyFill="1" applyBorder="1" applyAlignment="1">
      <alignment horizontal="left" vertical="top" wrapText="1"/>
    </xf>
    <xf numFmtId="0" fontId="15" fillId="0" borderId="14" xfId="15" applyFont="1" applyFill="1" applyBorder="1" applyAlignment="1">
      <alignment vertical="center" wrapText="1"/>
    </xf>
    <xf numFmtId="0" fontId="15" fillId="0" borderId="14" xfId="6" applyFont="1" applyFill="1" applyBorder="1" applyAlignment="1">
      <alignment horizontal="left" vertical="top" wrapText="1"/>
    </xf>
    <xf numFmtId="0" fontId="16" fillId="0" borderId="14" xfId="15" applyFont="1" applyFill="1" applyBorder="1"/>
    <xf numFmtId="0" fontId="15" fillId="0" borderId="13" xfId="15" applyFont="1" applyFill="1" applyBorder="1" applyAlignment="1">
      <alignment horizontal="center" vertical="center" wrapText="1"/>
    </xf>
    <xf numFmtId="164" fontId="15" fillId="0" borderId="14" xfId="2" applyFont="1" applyFill="1" applyBorder="1" applyAlignment="1">
      <alignment horizontal="center" vertical="center" wrapText="1"/>
    </xf>
    <xf numFmtId="0" fontId="15" fillId="0" borderId="0" xfId="6" applyNumberFormat="1" applyFont="1" applyFill="1" applyBorder="1" applyAlignment="1">
      <alignment horizontal="center" vertical="center" wrapText="1"/>
    </xf>
    <xf numFmtId="0" fontId="15" fillId="0" borderId="13" xfId="31" applyNumberFormat="1" applyFont="1" applyFill="1" applyBorder="1" applyAlignment="1">
      <alignment horizontal="center" vertical="center" wrapText="1"/>
    </xf>
    <xf numFmtId="0" fontId="15" fillId="0" borderId="14" xfId="30" applyFont="1" applyFill="1" applyBorder="1" applyAlignment="1">
      <alignment horizontal="left" vertical="top"/>
    </xf>
    <xf numFmtId="0" fontId="15" fillId="0" borderId="0" xfId="6" applyFont="1" applyFill="1" applyBorder="1" applyAlignment="1">
      <alignment horizontal="center" wrapText="1"/>
    </xf>
    <xf numFmtId="0" fontId="15" fillId="0" borderId="14" xfId="30" applyFont="1" applyFill="1" applyBorder="1" applyAlignment="1">
      <alignment vertical="center" wrapText="1"/>
    </xf>
    <xf numFmtId="0" fontId="19" fillId="0" borderId="14" xfId="30" applyFont="1" applyFill="1" applyBorder="1" applyAlignment="1">
      <alignment horizontal="left" vertical="center" wrapText="1"/>
    </xf>
    <xf numFmtId="0" fontId="15" fillId="0" borderId="13" xfId="15" applyFont="1" applyFill="1" applyBorder="1" applyAlignment="1" applyProtection="1">
      <alignment horizontal="center" vertical="center"/>
    </xf>
    <xf numFmtId="164" fontId="15" fillId="0" borderId="13" xfId="2" applyFont="1" applyFill="1" applyBorder="1" applyAlignment="1">
      <alignment horizontal="center" vertical="center"/>
    </xf>
    <xf numFmtId="164" fontId="15" fillId="0" borderId="0" xfId="6" applyNumberFormat="1" applyFont="1" applyFill="1" applyBorder="1" applyAlignment="1">
      <alignment horizontal="center" vertical="center" wrapText="1"/>
    </xf>
    <xf numFmtId="165" fontId="15" fillId="0" borderId="13" xfId="30" applyNumberFormat="1" applyFont="1" applyFill="1" applyBorder="1" applyAlignment="1">
      <alignment horizontal="center" vertical="center"/>
    </xf>
    <xf numFmtId="0" fontId="19" fillId="0" borderId="14" xfId="30" applyFont="1" applyFill="1" applyBorder="1" applyAlignment="1">
      <alignment horizontal="left" vertical="center"/>
    </xf>
    <xf numFmtId="0" fontId="15" fillId="0" borderId="0" xfId="6" applyFont="1" applyFill="1" applyBorder="1" applyAlignment="1">
      <alignment horizontal="center" vertical="center"/>
    </xf>
    <xf numFmtId="0" fontId="15" fillId="0" borderId="0" xfId="6" applyFont="1" applyFill="1" applyBorder="1"/>
    <xf numFmtId="164" fontId="15" fillId="0" borderId="0" xfId="6" applyNumberFormat="1" applyFont="1" applyFill="1" applyBorder="1"/>
    <xf numFmtId="0" fontId="50" fillId="0" borderId="14" xfId="30" applyFont="1" applyFill="1" applyBorder="1" applyAlignment="1">
      <alignment horizontal="left" vertical="top" wrapText="1"/>
    </xf>
    <xf numFmtId="165" fontId="50" fillId="0" borderId="13" xfId="30" applyNumberFormat="1" applyFont="1" applyFill="1" applyBorder="1" applyAlignment="1">
      <alignment horizontal="center" vertical="center" wrapText="1"/>
    </xf>
    <xf numFmtId="0" fontId="50" fillId="0" borderId="13" xfId="15" applyFont="1" applyFill="1" applyBorder="1" applyAlignment="1" applyProtection="1">
      <alignment horizontal="center" vertical="center" wrapText="1"/>
    </xf>
    <xf numFmtId="164" fontId="50" fillId="0" borderId="13" xfId="2" applyFont="1" applyFill="1" applyBorder="1" applyAlignment="1">
      <alignment horizontal="center" vertical="center" wrapText="1"/>
    </xf>
    <xf numFmtId="43" fontId="50" fillId="0" borderId="13" xfId="31" applyNumberFormat="1" applyFont="1" applyFill="1" applyBorder="1" applyAlignment="1">
      <alignment horizontal="center" vertical="top" wrapText="1"/>
    </xf>
    <xf numFmtId="0" fontId="54" fillId="0" borderId="14" xfId="30" applyFont="1" applyFill="1" applyBorder="1" applyAlignment="1">
      <alignment horizontal="left" vertical="top" wrapText="1"/>
    </xf>
    <xf numFmtId="165" fontId="54" fillId="0" borderId="13" xfId="30" applyNumberFormat="1" applyFont="1" applyFill="1" applyBorder="1" applyAlignment="1">
      <alignment horizontal="center" vertical="center" wrapText="1"/>
    </xf>
    <xf numFmtId="0" fontId="15" fillId="0" borderId="0" xfId="6" applyFont="1" applyFill="1" applyAlignment="1">
      <alignment wrapText="1"/>
    </xf>
    <xf numFmtId="164" fontId="15" fillId="0" borderId="0" xfId="6" applyNumberFormat="1" applyFont="1" applyFill="1" applyAlignment="1">
      <alignment wrapText="1"/>
    </xf>
    <xf numFmtId="0" fontId="16" fillId="0" borderId="14" xfId="15" applyFont="1" applyFill="1" applyBorder="1" applyAlignment="1">
      <alignment wrapText="1"/>
    </xf>
    <xf numFmtId="0" fontId="15" fillId="2" borderId="0" xfId="6" applyFont="1" applyFill="1" applyAlignment="1">
      <alignment horizontal="center" vertical="center" wrapText="1"/>
    </xf>
    <xf numFmtId="0" fontId="15" fillId="2" borderId="0" xfId="6" applyFont="1" applyFill="1" applyAlignment="1">
      <alignment wrapText="1"/>
    </xf>
    <xf numFmtId="164" fontId="15" fillId="2" borderId="0" xfId="6" applyNumberFormat="1" applyFont="1" applyFill="1" applyAlignment="1">
      <alignment wrapText="1"/>
    </xf>
    <xf numFmtId="2" fontId="15" fillId="2" borderId="0" xfId="30" applyNumberFormat="1" applyFont="1" applyFill="1" applyBorder="1" applyAlignment="1">
      <alignment horizontal="center" wrapText="1"/>
    </xf>
    <xf numFmtId="0" fontId="15" fillId="0" borderId="13" xfId="32" applyFont="1" applyFill="1" applyBorder="1" applyAlignment="1">
      <alignment horizontal="center" vertical="center" wrapText="1"/>
    </xf>
    <xf numFmtId="164" fontId="55" fillId="0" borderId="13" xfId="33" applyFont="1" applyFill="1" applyBorder="1" applyAlignment="1">
      <alignment horizontal="right" vertical="center" wrapText="1"/>
    </xf>
    <xf numFmtId="0" fontId="50" fillId="0" borderId="0" xfId="6" applyFont="1" applyFill="1" applyAlignment="1">
      <alignment horizontal="center" vertical="center" wrapText="1"/>
    </xf>
    <xf numFmtId="0" fontId="50" fillId="0" borderId="0" xfId="6" applyFont="1" applyFill="1" applyAlignment="1">
      <alignment wrapText="1"/>
    </xf>
    <xf numFmtId="164" fontId="50" fillId="0" borderId="0" xfId="6" applyNumberFormat="1" applyFont="1" applyFill="1" applyAlignment="1">
      <alignment wrapText="1"/>
    </xf>
    <xf numFmtId="2" fontId="50" fillId="0" borderId="0" xfId="30" applyNumberFormat="1" applyFont="1" applyFill="1" applyBorder="1" applyAlignment="1">
      <alignment horizontal="center" wrapText="1"/>
    </xf>
    <xf numFmtId="43" fontId="50" fillId="0" borderId="13" xfId="31" applyNumberFormat="1" applyFont="1" applyFill="1" applyBorder="1" applyAlignment="1">
      <alignment horizontal="center" vertical="center" wrapText="1"/>
    </xf>
    <xf numFmtId="0" fontId="15" fillId="0" borderId="14" xfId="15" applyFont="1" applyFill="1" applyBorder="1" applyAlignment="1">
      <alignment horizontal="left" vertical="top" wrapText="1"/>
    </xf>
    <xf numFmtId="165" fontId="15" fillId="0" borderId="13" xfId="15" applyNumberFormat="1" applyFont="1" applyFill="1" applyBorder="1" applyAlignment="1">
      <alignment horizontal="center" vertical="center"/>
    </xf>
    <xf numFmtId="0" fontId="15" fillId="0" borderId="13" xfId="15" applyFont="1" applyFill="1" applyBorder="1" applyAlignment="1">
      <alignment horizontal="center" vertical="center"/>
    </xf>
    <xf numFmtId="0" fontId="15" fillId="0" borderId="13" xfId="15" applyFont="1" applyFill="1" applyBorder="1" applyAlignment="1">
      <alignment vertical="center"/>
    </xf>
    <xf numFmtId="0" fontId="15" fillId="0" borderId="0" xfId="15" applyFont="1" applyFill="1"/>
    <xf numFmtId="0" fontId="15" fillId="0" borderId="0" xfId="6" applyFont="1" applyFill="1" applyAlignment="1">
      <alignment horizontal="center" vertical="center"/>
    </xf>
    <xf numFmtId="0" fontId="15" fillId="0" borderId="0" xfId="6" applyFont="1" applyFill="1"/>
    <xf numFmtId="164" fontId="15" fillId="0" borderId="0" xfId="6" applyNumberFormat="1" applyFont="1" applyFill="1"/>
    <xf numFmtId="1" fontId="15" fillId="0" borderId="12" xfId="6" applyNumberFormat="1" applyFont="1" applyFill="1" applyBorder="1" applyAlignment="1">
      <alignment horizontal="center" vertical="center"/>
    </xf>
    <xf numFmtId="0" fontId="23" fillId="0" borderId="26" xfId="15" applyFont="1" applyFill="1" applyBorder="1" applyAlignment="1">
      <alignment horizontal="center" vertical="center"/>
    </xf>
    <xf numFmtId="165" fontId="15" fillId="0" borderId="12" xfId="2" applyNumberFormat="1" applyFont="1" applyFill="1" applyBorder="1" applyAlignment="1" applyProtection="1">
      <alignment horizontal="center" vertical="center" wrapText="1"/>
    </xf>
    <xf numFmtId="0" fontId="16" fillId="0" borderId="12" xfId="15" applyFont="1" applyFill="1" applyBorder="1" applyAlignment="1" applyProtection="1">
      <alignment horizontal="center" vertical="center" wrapText="1"/>
    </xf>
    <xf numFmtId="164" fontId="16" fillId="0" borderId="12" xfId="2" applyNumberFormat="1" applyFont="1" applyFill="1" applyBorder="1" applyAlignment="1" applyProtection="1">
      <alignment horizontal="right" vertical="center"/>
      <protection locked="0"/>
    </xf>
    <xf numFmtId="43" fontId="15" fillId="0" borderId="42" xfId="31" applyNumberFormat="1" applyFont="1" applyFill="1" applyBorder="1" applyAlignment="1">
      <alignment horizontal="center" vertical="top" wrapText="1"/>
    </xf>
    <xf numFmtId="0" fontId="23" fillId="0" borderId="0" xfId="15" applyFont="1" applyFill="1" applyBorder="1" applyAlignment="1">
      <alignment horizontal="center" vertical="center"/>
    </xf>
    <xf numFmtId="165" fontId="15" fillId="0" borderId="0" xfId="2" applyNumberFormat="1" applyFont="1" applyFill="1" applyBorder="1" applyAlignment="1" applyProtection="1">
      <alignment horizontal="center" vertical="center" wrapText="1"/>
    </xf>
    <xf numFmtId="0" fontId="16" fillId="0" borderId="0" xfId="15" applyFont="1" applyFill="1" applyBorder="1" applyAlignment="1" applyProtection="1">
      <alignment horizontal="center" vertical="center" wrapText="1"/>
    </xf>
    <xf numFmtId="164" fontId="16" fillId="0" borderId="0" xfId="2" applyNumberFormat="1" applyFont="1" applyFill="1" applyBorder="1" applyAlignment="1" applyProtection="1">
      <alignment horizontal="right" vertical="center"/>
      <protection locked="0"/>
    </xf>
    <xf numFmtId="165" fontId="15" fillId="0" borderId="0" xfId="30" applyNumberFormat="1" applyFont="1" applyFill="1" applyBorder="1" applyAlignment="1">
      <alignment horizontal="center" vertical="center" wrapText="1"/>
    </xf>
    <xf numFmtId="0" fontId="15" fillId="0" borderId="0" xfId="15" applyFont="1" applyFill="1" applyBorder="1" applyAlignment="1" applyProtection="1">
      <alignment horizontal="center" vertical="center" wrapText="1"/>
    </xf>
    <xf numFmtId="164" fontId="15" fillId="0" borderId="0" xfId="2" applyFont="1" applyFill="1" applyBorder="1" applyAlignment="1">
      <alignment horizontal="center" vertical="center" wrapText="1"/>
    </xf>
    <xf numFmtId="0" fontId="16" fillId="0" borderId="0" xfId="15" applyFont="1" applyFill="1" applyBorder="1" applyAlignment="1">
      <alignment vertical="top"/>
    </xf>
    <xf numFmtId="1" fontId="15" fillId="0" borderId="0" xfId="15" applyNumberFormat="1" applyFont="1" applyFill="1" applyBorder="1" applyAlignment="1">
      <alignment horizontal="center"/>
    </xf>
    <xf numFmtId="0" fontId="16" fillId="0" borderId="0" xfId="15" applyFont="1" applyFill="1" applyBorder="1" applyAlignment="1">
      <alignment horizontal="justify" vertical="center"/>
    </xf>
    <xf numFmtId="165" fontId="15" fillId="0" borderId="0" xfId="15" applyNumberFormat="1" applyFont="1" applyFill="1" applyBorder="1" applyAlignment="1">
      <alignment horizontal="center"/>
    </xf>
    <xf numFmtId="2" fontId="15" fillId="0" borderId="0" xfId="15" applyNumberFormat="1" applyFont="1" applyFill="1" applyBorder="1" applyAlignment="1">
      <alignment horizontal="center"/>
    </xf>
    <xf numFmtId="164" fontId="15" fillId="0" borderId="0" xfId="2" applyFont="1" applyFill="1" applyBorder="1"/>
    <xf numFmtId="0" fontId="16" fillId="0" borderId="0" xfId="15" applyFont="1" applyFill="1" applyBorder="1" applyAlignment="1">
      <alignment horizontal="left" vertical="top" wrapText="1"/>
    </xf>
    <xf numFmtId="0" fontId="15" fillId="0" borderId="0" xfId="15" applyFont="1" applyFill="1" applyBorder="1" applyAlignment="1">
      <alignment horizontal="right"/>
    </xf>
    <xf numFmtId="0" fontId="15" fillId="0" borderId="0" xfId="15" applyFont="1" applyFill="1" applyBorder="1"/>
    <xf numFmtId="0" fontId="16" fillId="0" borderId="0" xfId="15" applyFont="1" applyFill="1" applyBorder="1"/>
    <xf numFmtId="165" fontId="15" fillId="0" borderId="0" xfId="2" applyNumberFormat="1" applyFont="1" applyFill="1" applyBorder="1" applyAlignment="1">
      <alignment horizontal="center" vertical="center" wrapText="1"/>
    </xf>
    <xf numFmtId="1" fontId="15" fillId="0" borderId="0" xfId="32" applyNumberFormat="1" applyFont="1" applyFill="1" applyBorder="1" applyAlignment="1">
      <alignment horizontal="center" vertical="center" wrapText="1"/>
    </xf>
    <xf numFmtId="0" fontId="15" fillId="0" borderId="0" xfId="32" applyFont="1" applyFill="1" applyBorder="1" applyAlignment="1">
      <alignment horizontal="left" vertical="center" wrapText="1"/>
    </xf>
    <xf numFmtId="0" fontId="15" fillId="0" borderId="0" xfId="32" applyFont="1" applyFill="1" applyBorder="1" applyAlignment="1">
      <alignment horizontal="center" vertical="center" wrapText="1"/>
    </xf>
    <xf numFmtId="164" fontId="15" fillId="0" borderId="0" xfId="33" applyFont="1" applyFill="1" applyBorder="1" applyAlignment="1">
      <alignment horizontal="center" vertical="center" wrapText="1"/>
    </xf>
    <xf numFmtId="4" fontId="15" fillId="0" borderId="0" xfId="2" applyNumberFormat="1" applyFont="1" applyFill="1" applyBorder="1" applyAlignment="1">
      <alignment horizontal="right" vertical="top" wrapText="1"/>
    </xf>
    <xf numFmtId="0" fontId="15" fillId="0" borderId="24" xfId="0" applyFont="1" applyFill="1" applyBorder="1" applyAlignment="1">
      <alignment horizontal="left"/>
    </xf>
    <xf numFmtId="4" fontId="15" fillId="0" borderId="13" xfId="0" applyNumberFormat="1" applyFont="1" applyFill="1" applyBorder="1" applyAlignment="1">
      <alignment horizontal="center" vertical="center" wrapText="1"/>
    </xf>
    <xf numFmtId="4" fontId="15" fillId="0" borderId="13" xfId="0" applyNumberFormat="1" applyFont="1" applyFill="1" applyBorder="1" applyAlignment="1">
      <alignment horizontal="center" vertical="center"/>
    </xf>
    <xf numFmtId="164" fontId="15" fillId="0" borderId="13" xfId="29" applyFont="1" applyFill="1" applyBorder="1" applyAlignment="1">
      <alignment horizontal="center" vertical="center"/>
    </xf>
    <xf numFmtId="0" fontId="32" fillId="0" borderId="0" xfId="0" applyFont="1" applyFill="1" applyAlignment="1">
      <alignment horizontal="left"/>
    </xf>
    <xf numFmtId="0" fontId="47" fillId="0" borderId="0" xfId="0" applyFont="1" applyFill="1"/>
    <xf numFmtId="0" fontId="16" fillId="0" borderId="12" xfId="32" applyFont="1" applyFill="1" applyBorder="1" applyAlignment="1">
      <alignment horizontal="center" vertical="center"/>
    </xf>
    <xf numFmtId="164" fontId="16" fillId="0" borderId="26" xfId="2" applyFont="1" applyFill="1" applyBorder="1" applyAlignment="1">
      <alignment horizontal="center" vertical="center"/>
    </xf>
    <xf numFmtId="164" fontId="16" fillId="0" borderId="26" xfId="33" applyFont="1" applyFill="1" applyBorder="1" applyAlignment="1">
      <alignment horizontal="center" vertical="center" wrapText="1"/>
    </xf>
    <xf numFmtId="0" fontId="15" fillId="0" borderId="0" xfId="6" applyFont="1" applyFill="1" applyAlignment="1">
      <alignment vertical="center"/>
    </xf>
    <xf numFmtId="0" fontId="16" fillId="0" borderId="14" xfId="32" applyFont="1" applyFill="1" applyBorder="1" applyAlignment="1">
      <alignment horizontal="center" vertical="center"/>
    </xf>
    <xf numFmtId="0" fontId="16" fillId="0" borderId="13" xfId="32" applyFont="1" applyFill="1" applyBorder="1" applyAlignment="1">
      <alignment horizontal="center" vertical="center"/>
    </xf>
    <xf numFmtId="164" fontId="16" fillId="0" borderId="14" xfId="2" applyFont="1" applyFill="1" applyBorder="1" applyAlignment="1">
      <alignment horizontal="center" vertical="center"/>
    </xf>
    <xf numFmtId="164" fontId="16" fillId="0" borderId="14" xfId="33" applyFont="1" applyFill="1" applyBorder="1" applyAlignment="1">
      <alignment horizontal="center" vertical="center" wrapText="1"/>
    </xf>
    <xf numFmtId="0" fontId="19" fillId="0" borderId="13" xfId="0" applyFont="1" applyFill="1" applyBorder="1" applyAlignment="1">
      <alignment vertical="center" wrapText="1"/>
    </xf>
    <xf numFmtId="0" fontId="16" fillId="0" borderId="14" xfId="30" applyFont="1" applyFill="1" applyBorder="1" applyAlignment="1">
      <alignment horizontal="center" vertical="center"/>
    </xf>
    <xf numFmtId="0" fontId="16" fillId="0" borderId="13" xfId="6" applyFont="1" applyFill="1" applyBorder="1" applyAlignment="1">
      <alignment horizontal="justify" vertical="top" wrapText="1"/>
    </xf>
    <xf numFmtId="164" fontId="15" fillId="0" borderId="14" xfId="2" applyFont="1" applyFill="1" applyBorder="1" applyAlignment="1">
      <alignment horizontal="center" vertical="top"/>
    </xf>
    <xf numFmtId="164" fontId="15" fillId="0" borderId="13" xfId="2" applyFont="1" applyFill="1" applyBorder="1" applyAlignment="1">
      <alignment horizontal="center" vertical="top"/>
    </xf>
    <xf numFmtId="43" fontId="15" fillId="0" borderId="13" xfId="31" applyNumberFormat="1" applyFont="1" applyFill="1" applyBorder="1" applyAlignment="1">
      <alignment horizontal="center" vertical="top"/>
    </xf>
    <xf numFmtId="164" fontId="15" fillId="0" borderId="13" xfId="2" applyFont="1" applyFill="1" applyBorder="1" applyAlignment="1">
      <alignment horizontal="right" vertical="center"/>
    </xf>
    <xf numFmtId="164" fontId="15" fillId="0" borderId="14" xfId="2" applyFont="1" applyFill="1" applyBorder="1" applyAlignment="1">
      <alignment horizontal="center" vertical="center"/>
    </xf>
    <xf numFmtId="43" fontId="56" fillId="0" borderId="13" xfId="31" applyNumberFormat="1" applyFont="1" applyFill="1" applyBorder="1" applyAlignment="1">
      <alignment horizontal="center" vertical="top"/>
    </xf>
    <xf numFmtId="0" fontId="15" fillId="0" borderId="13" xfId="30" applyFont="1" applyFill="1" applyBorder="1" applyAlignment="1">
      <alignment horizontal="center" vertical="top"/>
    </xf>
    <xf numFmtId="164" fontId="15" fillId="0" borderId="13" xfId="30" applyNumberFormat="1" applyFont="1" applyFill="1" applyBorder="1" applyAlignment="1">
      <alignment horizontal="right" vertical="center" wrapText="1"/>
    </xf>
    <xf numFmtId="0" fontId="15" fillId="0" borderId="13" xfId="0" applyFont="1" applyFill="1" applyBorder="1" applyAlignment="1">
      <alignment horizontal="center" vertical="center"/>
    </xf>
    <xf numFmtId="0" fontId="15" fillId="0" borderId="0" xfId="0" applyFont="1" applyFill="1"/>
    <xf numFmtId="164" fontId="15" fillId="0" borderId="0" xfId="30" applyNumberFormat="1" applyFont="1" applyFill="1" applyBorder="1" applyAlignment="1">
      <alignment horizontal="right" vertical="center" wrapText="1"/>
    </xf>
    <xf numFmtId="0" fontId="15" fillId="0" borderId="13" xfId="6" applyFont="1" applyFill="1" applyBorder="1" applyAlignment="1">
      <alignment horizontal="left" vertical="center" wrapText="1"/>
    </xf>
    <xf numFmtId="0" fontId="15" fillId="0" borderId="13" xfId="0" applyFont="1" applyFill="1" applyBorder="1" applyAlignment="1">
      <alignment horizontal="center" vertical="center" wrapText="1"/>
    </xf>
    <xf numFmtId="164" fontId="15" fillId="0" borderId="0" xfId="2" applyFont="1" applyFill="1" applyAlignment="1">
      <alignment horizontal="center" vertical="center" wrapText="1"/>
    </xf>
    <xf numFmtId="1" fontId="15" fillId="0" borderId="14" xfId="30" applyNumberFormat="1" applyFont="1" applyFill="1" applyBorder="1" applyAlignment="1">
      <alignment horizontal="center" vertical="center" wrapText="1"/>
    </xf>
    <xf numFmtId="0" fontId="15" fillId="0" borderId="14" xfId="30" applyFont="1" applyFill="1" applyBorder="1" applyAlignment="1">
      <alignment horizontal="center" vertical="center" wrapText="1"/>
    </xf>
    <xf numFmtId="0" fontId="15" fillId="0" borderId="13" xfId="6" applyFont="1" applyFill="1" applyBorder="1" applyAlignment="1">
      <alignment horizontal="justify" vertical="top" wrapText="1"/>
    </xf>
    <xf numFmtId="0" fontId="15" fillId="0" borderId="13" xfId="6" applyFont="1" applyFill="1" applyBorder="1" applyAlignment="1">
      <alignment horizontal="justify" vertical="top"/>
    </xf>
    <xf numFmtId="164" fontId="15" fillId="0" borderId="0" xfId="30" applyNumberFormat="1" applyFont="1" applyFill="1" applyAlignment="1">
      <alignment horizontal="center" vertical="top" wrapText="1"/>
    </xf>
    <xf numFmtId="164" fontId="15" fillId="0" borderId="14" xfId="2" applyFont="1" applyFill="1" applyBorder="1" applyAlignment="1">
      <alignment horizontal="center" vertical="top" wrapText="1"/>
    </xf>
    <xf numFmtId="164" fontId="15" fillId="0" borderId="0" xfId="30" applyNumberFormat="1" applyFont="1" applyFill="1" applyBorder="1" applyAlignment="1">
      <alignment horizontal="center" vertical="top" wrapText="1"/>
    </xf>
    <xf numFmtId="0" fontId="15" fillId="0" borderId="78" xfId="30" applyFont="1" applyFill="1" applyBorder="1" applyAlignment="1">
      <alignment horizontal="center" vertical="center" wrapText="1"/>
    </xf>
    <xf numFmtId="0" fontId="15" fillId="0" borderId="33" xfId="6" applyFont="1" applyFill="1" applyBorder="1" applyAlignment="1">
      <alignment horizontal="left" vertical="top" wrapText="1"/>
    </xf>
    <xf numFmtId="164" fontId="15" fillId="0" borderId="79" xfId="30" applyNumberFormat="1" applyFont="1" applyFill="1" applyBorder="1" applyAlignment="1">
      <alignment horizontal="center" vertical="top" wrapText="1"/>
    </xf>
    <xf numFmtId="164" fontId="15" fillId="0" borderId="78" xfId="2" applyFont="1" applyFill="1" applyBorder="1" applyAlignment="1">
      <alignment horizontal="center" vertical="top" wrapText="1"/>
    </xf>
    <xf numFmtId="43" fontId="15" fillId="0" borderId="33" xfId="31" applyNumberFormat="1" applyFont="1" applyFill="1" applyBorder="1" applyAlignment="1">
      <alignment horizontal="center" vertical="top" wrapText="1"/>
    </xf>
    <xf numFmtId="0" fontId="15" fillId="0" borderId="32" xfId="6" applyFont="1" applyFill="1" applyBorder="1" applyAlignment="1">
      <alignment horizontal="left" vertical="top" wrapText="1"/>
    </xf>
    <xf numFmtId="0" fontId="15" fillId="0" borderId="32" xfId="0" applyFont="1" applyFill="1" applyBorder="1" applyAlignment="1">
      <alignment horizontal="center" vertical="top"/>
    </xf>
    <xf numFmtId="164" fontId="15" fillId="0" borderId="77" xfId="2" applyFont="1" applyFill="1" applyBorder="1" applyAlignment="1">
      <alignment horizontal="center" vertical="top" wrapText="1"/>
    </xf>
    <xf numFmtId="43" fontId="15" fillId="0" borderId="32" xfId="31" applyNumberFormat="1" applyFont="1" applyFill="1" applyBorder="1" applyAlignment="1">
      <alignment horizontal="center" vertical="top" wrapText="1"/>
    </xf>
    <xf numFmtId="49" fontId="15" fillId="0" borderId="13" xfId="0" applyNumberFormat="1" applyFont="1" applyFill="1" applyBorder="1" applyAlignment="1">
      <alignment horizontal="center" vertical="center" wrapText="1"/>
    </xf>
    <xf numFmtId="0" fontId="24" fillId="0" borderId="13" xfId="6" applyFont="1" applyFill="1" applyBorder="1" applyAlignment="1">
      <alignment horizontal="left" vertical="top" wrapText="1"/>
    </xf>
    <xf numFmtId="4" fontId="15" fillId="0" borderId="13" xfId="2" applyNumberFormat="1" applyFont="1" applyFill="1" applyBorder="1" applyAlignment="1">
      <alignment horizontal="center" vertical="center" wrapText="1"/>
    </xf>
    <xf numFmtId="1" fontId="15" fillId="0" borderId="13" xfId="2" applyNumberFormat="1" applyFont="1" applyFill="1" applyBorder="1" applyAlignment="1">
      <alignment horizontal="center" vertical="center" wrapText="1"/>
    </xf>
    <xf numFmtId="1" fontId="15" fillId="0" borderId="13" xfId="0" applyNumberFormat="1" applyFont="1" applyFill="1" applyBorder="1" applyAlignment="1">
      <alignment horizontal="center" vertical="center" wrapText="1"/>
    </xf>
    <xf numFmtId="1" fontId="15" fillId="0" borderId="14" xfId="0" applyNumberFormat="1" applyFont="1" applyFill="1" applyBorder="1" applyAlignment="1">
      <alignment horizontal="center" vertical="center" wrapText="1"/>
    </xf>
    <xf numFmtId="4" fontId="15" fillId="0" borderId="14" xfId="2" applyNumberFormat="1" applyFont="1" applyFill="1" applyBorder="1" applyAlignment="1">
      <alignment horizontal="center" vertical="center" wrapText="1"/>
    </xf>
    <xf numFmtId="49" fontId="15" fillId="0" borderId="14" xfId="0" applyNumberFormat="1" applyFont="1" applyFill="1" applyBorder="1" applyAlignment="1">
      <alignment horizontal="center" vertical="center" wrapText="1"/>
    </xf>
    <xf numFmtId="4" fontId="15" fillId="0" borderId="0" xfId="2" applyNumberFormat="1" applyFont="1" applyFill="1" applyBorder="1" applyAlignment="1">
      <alignment horizontal="center" vertical="center" wrapText="1"/>
    </xf>
    <xf numFmtId="164" fontId="15" fillId="0" borderId="13" xfId="30" applyNumberFormat="1" applyFont="1" applyFill="1" applyBorder="1" applyAlignment="1">
      <alignment horizontal="center" vertical="center" wrapText="1"/>
    </xf>
    <xf numFmtId="164" fontId="15" fillId="0" borderId="0" xfId="30" applyNumberFormat="1" applyFont="1" applyFill="1" applyBorder="1" applyAlignment="1">
      <alignment horizontal="center" vertical="center" wrapText="1"/>
    </xf>
    <xf numFmtId="0" fontId="15" fillId="0" borderId="13" xfId="0" applyFont="1" applyFill="1" applyBorder="1" applyAlignment="1" applyProtection="1">
      <alignment horizontal="center" vertical="center"/>
    </xf>
    <xf numFmtId="43" fontId="15" fillId="0" borderId="24" xfId="31" applyNumberFormat="1" applyFont="1" applyFill="1" applyBorder="1" applyAlignment="1">
      <alignment horizontal="center" vertical="center" wrapText="1"/>
    </xf>
    <xf numFmtId="43" fontId="15" fillId="0" borderId="0" xfId="31" applyNumberFormat="1" applyFont="1" applyFill="1" applyAlignment="1">
      <alignment horizontal="center" vertical="top" wrapText="1"/>
    </xf>
    <xf numFmtId="0" fontId="15" fillId="0" borderId="0" xfId="34" applyFont="1" applyFill="1"/>
    <xf numFmtId="0" fontId="16" fillId="0" borderId="13" xfId="30" applyFont="1" applyFill="1" applyBorder="1" applyAlignment="1">
      <alignment horizontal="left" vertical="top" wrapText="1"/>
    </xf>
    <xf numFmtId="0" fontId="15" fillId="0" borderId="13" xfId="30" applyFont="1" applyFill="1" applyBorder="1" applyAlignment="1">
      <alignment horizontal="left" vertical="top"/>
    </xf>
    <xf numFmtId="2" fontId="15" fillId="0" borderId="0" xfId="30" applyNumberFormat="1" applyFont="1" applyFill="1" applyAlignment="1">
      <alignment horizontal="center" wrapText="1"/>
    </xf>
    <xf numFmtId="0" fontId="13" fillId="0" borderId="0" xfId="34" applyFont="1" applyFill="1" applyBorder="1"/>
    <xf numFmtId="4" fontId="13" fillId="0" borderId="13" xfId="35" applyNumberFormat="1" applyFont="1" applyFill="1" applyBorder="1" applyAlignment="1" applyProtection="1">
      <alignment horizontal="right" vertical="center"/>
      <protection locked="0"/>
    </xf>
    <xf numFmtId="0" fontId="13" fillId="0" borderId="0" xfId="34" applyFont="1" applyFill="1"/>
    <xf numFmtId="0" fontId="15" fillId="0" borderId="13" xfId="30" applyFont="1" applyFill="1" applyBorder="1" applyAlignment="1">
      <alignment vertical="top" wrapText="1"/>
    </xf>
    <xf numFmtId="1" fontId="15" fillId="0" borderId="0" xfId="30" applyNumberFormat="1" applyFont="1" applyFill="1" applyBorder="1" applyAlignment="1">
      <alignment horizontal="center" vertical="center" wrapText="1"/>
    </xf>
    <xf numFmtId="0" fontId="23" fillId="0" borderId="12" xfId="35" applyFont="1" applyFill="1" applyBorder="1" applyAlignment="1" applyProtection="1">
      <alignment horizontal="center" vertical="top"/>
      <protection locked="0"/>
    </xf>
    <xf numFmtId="0" fontId="16" fillId="0" borderId="12" xfId="35" applyFont="1" applyFill="1" applyBorder="1" applyAlignment="1" applyProtection="1">
      <alignment horizontal="center" vertical="center" wrapText="1"/>
      <protection locked="0"/>
    </xf>
    <xf numFmtId="0" fontId="16" fillId="0" borderId="12" xfId="35" applyFont="1" applyFill="1" applyBorder="1" applyAlignment="1" applyProtection="1">
      <alignment horizontal="center" vertical="center"/>
      <protection locked="0"/>
    </xf>
    <xf numFmtId="0" fontId="16" fillId="0" borderId="26" xfId="35" applyFont="1" applyFill="1" applyBorder="1" applyAlignment="1" applyProtection="1">
      <alignment horizontal="right" vertical="center"/>
      <protection locked="0"/>
    </xf>
    <xf numFmtId="4" fontId="15" fillId="0" borderId="12" xfId="35" applyNumberFormat="1" applyFont="1" applyFill="1" applyBorder="1" applyAlignment="1" applyProtection="1">
      <alignment horizontal="right" vertical="center"/>
      <protection locked="0"/>
    </xf>
    <xf numFmtId="0" fontId="13" fillId="0" borderId="0" xfId="0" applyFont="1" applyFill="1"/>
    <xf numFmtId="0" fontId="15" fillId="0" borderId="76" xfId="32" applyFont="1" applyFill="1" applyBorder="1" applyAlignment="1">
      <alignment horizontal="left" vertical="center" wrapText="1"/>
    </xf>
    <xf numFmtId="165" fontId="15" fillId="0" borderId="76" xfId="2" applyNumberFormat="1" applyFont="1" applyFill="1" applyBorder="1" applyAlignment="1">
      <alignment horizontal="center" vertical="center" wrapText="1"/>
    </xf>
    <xf numFmtId="0" fontId="15" fillId="0" borderId="76" xfId="32" applyFont="1" applyFill="1" applyBorder="1" applyAlignment="1">
      <alignment horizontal="center" vertical="center" wrapText="1"/>
    </xf>
    <xf numFmtId="164" fontId="15" fillId="0" borderId="76" xfId="33" applyFont="1" applyFill="1" applyBorder="1" applyAlignment="1">
      <alignment horizontal="center" vertical="center" wrapText="1"/>
    </xf>
    <xf numFmtId="0" fontId="16" fillId="0" borderId="0" xfId="6" applyFont="1" applyFill="1" applyBorder="1" applyAlignment="1">
      <alignment horizontal="left" vertical="top" wrapText="1"/>
    </xf>
    <xf numFmtId="1" fontId="15" fillId="0" borderId="0" xfId="2" applyNumberFormat="1" applyFont="1" applyFill="1" applyBorder="1" applyAlignment="1">
      <alignment horizontal="center" vertical="center" wrapText="1"/>
    </xf>
    <xf numFmtId="0" fontId="15" fillId="0" borderId="0" xfId="6" applyFont="1" applyFill="1" applyBorder="1" applyAlignment="1">
      <alignment horizontal="left" vertical="top" wrapText="1"/>
    </xf>
    <xf numFmtId="4" fontId="15" fillId="0" borderId="0" xfId="6" applyNumberFormat="1" applyFont="1" applyFill="1" applyBorder="1" applyAlignment="1">
      <alignment wrapText="1"/>
    </xf>
    <xf numFmtId="0" fontId="13" fillId="0" borderId="0" xfId="0" applyFont="1" applyFill="1" applyAlignment="1">
      <alignment wrapText="1"/>
    </xf>
    <xf numFmtId="0" fontId="15" fillId="0" borderId="0" xfId="30" applyFont="1" applyFill="1" applyAlignment="1">
      <alignment horizontal="center" vertical="center" wrapText="1"/>
    </xf>
    <xf numFmtId="0" fontId="15" fillId="0" borderId="0" xfId="30" applyFont="1" applyFill="1" applyAlignment="1">
      <alignment horizontal="justify" vertical="top" wrapText="1"/>
    </xf>
    <xf numFmtId="0" fontId="15" fillId="0" borderId="0" xfId="0" applyFont="1" applyFill="1" applyAlignment="1">
      <alignment horizontal="center" vertical="top"/>
    </xf>
    <xf numFmtId="164" fontId="15" fillId="0" borderId="0" xfId="2" applyFont="1" applyFill="1" applyAlignment="1">
      <alignment horizontal="center" vertical="top" wrapText="1"/>
    </xf>
    <xf numFmtId="0" fontId="15" fillId="0" borderId="0" xfId="32" applyFont="1" applyFill="1" applyAlignment="1">
      <alignment horizontal="center" vertical="center"/>
    </xf>
    <xf numFmtId="0" fontId="15" fillId="0" borderId="0" xfId="32" applyFont="1" applyFill="1" applyAlignment="1">
      <alignment horizontal="justify" vertical="top"/>
    </xf>
    <xf numFmtId="164" fontId="15" fillId="0" borderId="0" xfId="2" applyFont="1" applyFill="1" applyAlignment="1">
      <alignment horizontal="center" vertical="top"/>
    </xf>
    <xf numFmtId="0" fontId="15" fillId="0" borderId="0" xfId="32" applyFont="1" applyFill="1" applyAlignment="1">
      <alignment horizontal="center" vertical="top"/>
    </xf>
    <xf numFmtId="164" fontId="15" fillId="0" borderId="0" xfId="33" applyFont="1" applyFill="1" applyAlignment="1">
      <alignment horizontal="center" vertical="top"/>
    </xf>
    <xf numFmtId="4" fontId="15" fillId="0" borderId="0" xfId="2" applyNumberFormat="1" applyFont="1" applyFill="1" applyAlignment="1">
      <alignment horizontal="right" vertical="top"/>
    </xf>
    <xf numFmtId="0" fontId="15" fillId="0" borderId="0" xfId="0" applyFont="1" applyFill="1" applyAlignment="1">
      <alignment horizontal="left"/>
    </xf>
    <xf numFmtId="0" fontId="32" fillId="0" borderId="0" xfId="0" applyFont="1" applyFill="1"/>
    <xf numFmtId="164" fontId="16" fillId="0" borderId="12" xfId="2" applyFont="1" applyFill="1" applyBorder="1" applyAlignment="1">
      <alignment horizontal="center" vertical="center" wrapText="1"/>
    </xf>
    <xf numFmtId="0" fontId="16" fillId="0" borderId="14" xfId="32" applyFont="1" applyFill="1" applyBorder="1" applyAlignment="1">
      <alignment horizontal="center" vertical="center" wrapText="1"/>
    </xf>
    <xf numFmtId="1" fontId="16" fillId="0" borderId="13" xfId="30" applyNumberFormat="1" applyFont="1" applyFill="1" applyBorder="1" applyAlignment="1">
      <alignment horizontal="center" vertical="top" wrapText="1"/>
    </xf>
    <xf numFmtId="0" fontId="15" fillId="0" borderId="13" xfId="32" applyFont="1" applyFill="1" applyBorder="1" applyAlignment="1">
      <alignment horizontal="left" vertical="top" wrapText="1"/>
    </xf>
    <xf numFmtId="165" fontId="15" fillId="0" borderId="0" xfId="2" applyNumberFormat="1" applyFont="1" applyFill="1" applyBorder="1" applyAlignment="1">
      <alignment horizontal="center" vertical="top" wrapText="1"/>
    </xf>
    <xf numFmtId="164" fontId="15" fillId="0" borderId="13" xfId="2" applyFont="1" applyFill="1" applyBorder="1" applyAlignment="1" applyProtection="1">
      <alignment horizontal="center" vertical="top" wrapText="1"/>
    </xf>
    <xf numFmtId="164" fontId="15" fillId="0" borderId="0" xfId="2" applyFont="1" applyFill="1" applyBorder="1" applyAlignment="1">
      <alignment horizontal="center" vertical="top" wrapText="1"/>
    </xf>
    <xf numFmtId="0" fontId="15" fillId="0" borderId="0" xfId="6" applyFont="1" applyFill="1" applyAlignment="1">
      <alignment horizontal="center" vertical="top" wrapText="1"/>
    </xf>
    <xf numFmtId="0" fontId="15" fillId="0" borderId="0" xfId="6" applyFont="1" applyFill="1" applyBorder="1" applyAlignment="1">
      <alignment vertical="top" wrapText="1"/>
    </xf>
    <xf numFmtId="0" fontId="15" fillId="0" borderId="0" xfId="6" applyFont="1" applyFill="1" applyAlignment="1">
      <alignment vertical="top" wrapText="1"/>
    </xf>
    <xf numFmtId="1" fontId="16" fillId="0" borderId="13" xfId="30" applyNumberFormat="1" applyFont="1" applyFill="1" applyBorder="1" applyAlignment="1">
      <alignment horizontal="center" vertical="center" wrapText="1"/>
    </xf>
    <xf numFmtId="0" fontId="16" fillId="0" borderId="13" xfId="32" applyFont="1" applyFill="1" applyBorder="1" applyAlignment="1">
      <alignment horizontal="left" vertical="center" wrapText="1"/>
    </xf>
    <xf numFmtId="43" fontId="15" fillId="0" borderId="24" xfId="31" applyNumberFormat="1" applyFont="1" applyFill="1" applyBorder="1" applyAlignment="1">
      <alignment horizontal="center" vertical="top" wrapText="1"/>
    </xf>
    <xf numFmtId="0" fontId="15" fillId="0" borderId="14" xfId="0" applyFont="1" applyFill="1" applyBorder="1" applyAlignment="1" applyProtection="1">
      <alignment horizontal="center" vertical="center" wrapText="1"/>
    </xf>
    <xf numFmtId="0" fontId="19" fillId="0" borderId="13" xfId="6" applyFont="1" applyFill="1" applyBorder="1" applyAlignment="1">
      <alignment horizontal="left" vertical="top" wrapText="1"/>
    </xf>
    <xf numFmtId="0" fontId="15" fillId="0" borderId="14" xfId="0" applyFont="1" applyFill="1" applyBorder="1" applyAlignment="1">
      <alignment horizontal="center" vertical="center" wrapText="1"/>
    </xf>
    <xf numFmtId="2" fontId="15" fillId="0" borderId="13" xfId="32" applyNumberFormat="1" applyFont="1" applyFill="1" applyBorder="1" applyAlignment="1">
      <alignment horizontal="center" vertical="center"/>
    </xf>
    <xf numFmtId="0" fontId="15" fillId="0" borderId="13" xfId="0" applyFont="1" applyFill="1" applyBorder="1"/>
    <xf numFmtId="1" fontId="15" fillId="0" borderId="13" xfId="2" applyNumberFormat="1" applyFont="1" applyFill="1" applyBorder="1" applyAlignment="1">
      <alignment horizontal="right" vertical="center"/>
    </xf>
    <xf numFmtId="164" fontId="16" fillId="0" borderId="24" xfId="2" applyFont="1" applyFill="1" applyBorder="1" applyAlignment="1">
      <alignment horizontal="center" vertical="center" wrapText="1"/>
    </xf>
    <xf numFmtId="4" fontId="16" fillId="0" borderId="13" xfId="2" applyNumberFormat="1" applyFont="1" applyFill="1" applyBorder="1" applyAlignment="1">
      <alignment horizontal="right" vertical="center" wrapText="1"/>
    </xf>
    <xf numFmtId="0" fontId="51" fillId="0" borderId="0" xfId="6" applyFont="1" applyFill="1" applyAlignment="1">
      <alignment vertical="center"/>
    </xf>
    <xf numFmtId="0" fontId="51" fillId="0" borderId="0" xfId="6" applyFont="1" applyFill="1" applyBorder="1" applyAlignment="1">
      <alignment vertical="center"/>
    </xf>
    <xf numFmtId="0" fontId="15" fillId="0" borderId="0" xfId="0" applyFont="1" applyFill="1" applyBorder="1" applyAlignment="1" applyProtection="1">
      <alignment horizontal="center" vertical="center"/>
    </xf>
    <xf numFmtId="0" fontId="15" fillId="0" borderId="24" xfId="6" applyFont="1" applyFill="1" applyBorder="1" applyAlignment="1">
      <alignment horizontal="left" vertical="top" wrapText="1"/>
    </xf>
    <xf numFmtId="165" fontId="15" fillId="0" borderId="13" xfId="30" applyNumberFormat="1" applyFont="1" applyFill="1" applyBorder="1" applyAlignment="1">
      <alignment horizontal="right" vertical="center" wrapText="1"/>
    </xf>
    <xf numFmtId="165" fontId="15" fillId="0" borderId="0" xfId="30" applyNumberFormat="1" applyFont="1" applyFill="1" applyBorder="1" applyAlignment="1">
      <alignment horizontal="right" vertical="center" wrapText="1"/>
    </xf>
    <xf numFmtId="164" fontId="15" fillId="0" borderId="24" xfId="2" applyFont="1" applyFill="1" applyBorder="1" applyAlignment="1">
      <alignment horizontal="center" vertical="center" wrapText="1"/>
    </xf>
    <xf numFmtId="0" fontId="15" fillId="0" borderId="24" xfId="0" applyFont="1" applyFill="1" applyBorder="1"/>
    <xf numFmtId="0" fontId="16" fillId="0" borderId="13" xfId="0" applyFont="1" applyFill="1" applyBorder="1" applyAlignment="1" applyProtection="1">
      <alignment horizontal="left" vertical="top"/>
    </xf>
    <xf numFmtId="165" fontId="32" fillId="0" borderId="0" xfId="2" applyNumberFormat="1" applyFont="1" applyFill="1" applyBorder="1" applyAlignment="1" applyProtection="1">
      <alignment horizontal="center" vertical="center"/>
    </xf>
    <xf numFmtId="0" fontId="32" fillId="0" borderId="13" xfId="18" applyFont="1" applyFill="1" applyBorder="1" applyAlignment="1" applyProtection="1">
      <alignment horizontal="center" vertical="center"/>
    </xf>
    <xf numFmtId="164" fontId="15" fillId="0" borderId="13" xfId="2" applyFont="1" applyFill="1" applyBorder="1" applyAlignment="1">
      <alignment vertical="center" wrapText="1"/>
    </xf>
    <xf numFmtId="43" fontId="15" fillId="0" borderId="13" xfId="31" applyNumberFormat="1" applyFont="1" applyFill="1" applyBorder="1" applyAlignment="1">
      <alignment vertical="center" wrapText="1"/>
    </xf>
    <xf numFmtId="164" fontId="15" fillId="0" borderId="0" xfId="2" applyFont="1" applyFill="1" applyBorder="1" applyAlignment="1">
      <alignment vertical="center" wrapText="1"/>
    </xf>
    <xf numFmtId="0" fontId="13" fillId="0" borderId="0" xfId="0" applyFont="1" applyFill="1" applyBorder="1" applyAlignment="1">
      <alignment vertical="center"/>
    </xf>
    <xf numFmtId="0" fontId="13" fillId="0" borderId="0" xfId="0" applyFont="1" applyFill="1" applyAlignment="1">
      <alignment vertical="center"/>
    </xf>
    <xf numFmtId="164" fontId="15" fillId="0" borderId="0" xfId="6" applyNumberFormat="1" applyFont="1" applyFill="1" applyAlignment="1">
      <alignment vertical="center"/>
    </xf>
    <xf numFmtId="2" fontId="15" fillId="0" borderId="0" xfId="30" applyNumberFormat="1" applyFont="1" applyFill="1" applyBorder="1" applyAlignment="1">
      <alignment vertical="center" wrapText="1"/>
    </xf>
    <xf numFmtId="0" fontId="15" fillId="0" borderId="13" xfId="6" applyFont="1" applyFill="1" applyBorder="1" applyAlignment="1">
      <alignment horizontal="center" wrapText="1"/>
    </xf>
    <xf numFmtId="165" fontId="15" fillId="0" borderId="13" xfId="0" applyNumberFormat="1" applyFont="1" applyFill="1" applyBorder="1" applyAlignment="1">
      <alignment horizontal="center" vertical="center"/>
    </xf>
    <xf numFmtId="43" fontId="15" fillId="0" borderId="24" xfId="31" applyNumberFormat="1" applyFont="1" applyFill="1" applyBorder="1" applyAlignment="1">
      <alignment vertical="center" wrapText="1"/>
    </xf>
    <xf numFmtId="0" fontId="15" fillId="0" borderId="0" xfId="0" applyFont="1" applyFill="1" applyBorder="1"/>
    <xf numFmtId="0" fontId="15" fillId="0" borderId="13" xfId="0" applyFont="1" applyFill="1" applyBorder="1" applyAlignment="1">
      <alignment vertical="center" wrapText="1"/>
    </xf>
    <xf numFmtId="0" fontId="15" fillId="0" borderId="0" xfId="0" applyFont="1" applyFill="1" applyAlignment="1">
      <alignment vertical="center"/>
    </xf>
    <xf numFmtId="0" fontId="15" fillId="0" borderId="0" xfId="0" applyFont="1" applyFill="1" applyBorder="1" applyAlignment="1">
      <alignment vertical="center"/>
    </xf>
    <xf numFmtId="0" fontId="15" fillId="0" borderId="13" xfId="0" applyFont="1" applyFill="1" applyBorder="1" applyAlignment="1">
      <alignment horizontal="justify" vertical="center" wrapText="1"/>
    </xf>
    <xf numFmtId="0" fontId="15" fillId="0" borderId="13" xfId="0" applyFont="1" applyFill="1" applyBorder="1" applyAlignment="1">
      <alignment horizontal="left" vertical="center" wrapText="1"/>
    </xf>
    <xf numFmtId="164" fontId="15" fillId="0" borderId="13" xfId="2" applyFont="1" applyFill="1" applyBorder="1" applyAlignment="1">
      <alignment horizontal="left" vertical="center" wrapText="1"/>
    </xf>
    <xf numFmtId="0" fontId="15" fillId="0" borderId="0" xfId="0" applyFont="1" applyFill="1" applyAlignment="1">
      <alignment horizontal="left" vertical="center"/>
    </xf>
    <xf numFmtId="164" fontId="15" fillId="0" borderId="13" xfId="2" applyFont="1" applyFill="1" applyBorder="1" applyAlignment="1">
      <alignment vertical="center"/>
    </xf>
    <xf numFmtId="165" fontId="15" fillId="0" borderId="13" xfId="0" applyNumberFormat="1" applyFont="1" applyFill="1" applyBorder="1" applyAlignment="1">
      <alignment vertical="center"/>
    </xf>
    <xf numFmtId="0" fontId="15" fillId="0" borderId="13" xfId="0" applyFont="1" applyFill="1" applyBorder="1" applyAlignment="1">
      <alignment vertical="center"/>
    </xf>
    <xf numFmtId="0" fontId="15" fillId="0" borderId="0" xfId="0" applyFont="1" applyFill="1" applyBorder="1" applyAlignment="1">
      <alignment horizontal="center" vertical="center" wrapText="1"/>
    </xf>
    <xf numFmtId="164" fontId="15" fillId="0" borderId="13" xfId="2" applyFont="1" applyFill="1" applyBorder="1"/>
    <xf numFmtId="0" fontId="15" fillId="0" borderId="13" xfId="6" applyFont="1" applyFill="1" applyBorder="1"/>
    <xf numFmtId="164" fontId="0" fillId="0" borderId="13" xfId="2" applyFont="1" applyFill="1" applyBorder="1" applyAlignment="1">
      <alignment horizontal="center" vertical="center"/>
    </xf>
    <xf numFmtId="0" fontId="57" fillId="0" borderId="0" xfId="0" applyFont="1" applyFill="1"/>
    <xf numFmtId="0" fontId="0" fillId="0" borderId="13" xfId="0" applyFont="1" applyFill="1" applyBorder="1" applyAlignment="1">
      <alignment horizontal="center" vertical="center"/>
    </xf>
    <xf numFmtId="2" fontId="15" fillId="0" borderId="13" xfId="30" applyNumberFormat="1" applyFont="1" applyFill="1" applyBorder="1" applyAlignment="1">
      <alignment horizontal="right" vertical="center" wrapText="1"/>
    </xf>
    <xf numFmtId="4" fontId="30" fillId="0" borderId="13" xfId="0" applyNumberFormat="1" applyFont="1" applyFill="1" applyBorder="1" applyAlignment="1">
      <alignment horizontal="center" vertical="center"/>
    </xf>
    <xf numFmtId="1" fontId="50" fillId="0" borderId="13" xfId="6" applyNumberFormat="1" applyFont="1" applyFill="1" applyBorder="1" applyAlignment="1">
      <alignment horizontal="center" vertical="center"/>
    </xf>
    <xf numFmtId="2" fontId="50" fillId="0" borderId="13" xfId="30" applyNumberFormat="1" applyFont="1" applyFill="1" applyBorder="1" applyAlignment="1">
      <alignment horizontal="right" vertical="center" wrapText="1"/>
    </xf>
    <xf numFmtId="164" fontId="58" fillId="0" borderId="13" xfId="2" applyFont="1" applyFill="1" applyBorder="1" applyAlignment="1">
      <alignment horizontal="center" vertical="center"/>
    </xf>
    <xf numFmtId="4" fontId="29" fillId="0" borderId="13" xfId="0" applyNumberFormat="1" applyFont="1" applyFill="1" applyBorder="1" applyAlignment="1">
      <alignment horizontal="center" vertical="center"/>
    </xf>
    <xf numFmtId="0" fontId="59" fillId="0" borderId="0" xfId="0" applyFont="1" applyFill="1"/>
    <xf numFmtId="1" fontId="25" fillId="0" borderId="12" xfId="6" applyNumberFormat="1" applyFont="1" applyFill="1" applyBorder="1" applyAlignment="1">
      <alignment horizontal="center" vertical="center"/>
    </xf>
    <xf numFmtId="0" fontId="26" fillId="0" borderId="26" xfId="0" applyFont="1" applyFill="1" applyBorder="1" applyAlignment="1">
      <alignment horizontal="center" vertical="center"/>
    </xf>
    <xf numFmtId="0" fontId="26" fillId="0" borderId="12" xfId="0" applyFont="1" applyFill="1" applyBorder="1" applyAlignment="1" applyProtection="1">
      <alignment horizontal="center" vertical="center" wrapText="1"/>
    </xf>
    <xf numFmtId="164" fontId="26" fillId="0" borderId="12" xfId="2" applyFont="1" applyFill="1" applyBorder="1" applyAlignment="1" applyProtection="1">
      <alignment horizontal="right" vertical="center"/>
      <protection locked="0"/>
    </xf>
    <xf numFmtId="43" fontId="25" fillId="0" borderId="42" xfId="31" applyNumberFormat="1" applyFont="1" applyFill="1" applyBorder="1" applyAlignment="1">
      <alignment horizontal="center" vertical="center" wrapText="1"/>
    </xf>
    <xf numFmtId="0" fontId="25" fillId="0" borderId="0" xfId="6" applyFont="1" applyFill="1"/>
    <xf numFmtId="164" fontId="25" fillId="0" borderId="0" xfId="6" applyNumberFormat="1" applyFont="1" applyFill="1"/>
    <xf numFmtId="2" fontId="25" fillId="0" borderId="0" xfId="30" applyNumberFormat="1" applyFont="1" applyFill="1" applyBorder="1" applyAlignment="1">
      <alignment horizontal="center" wrapText="1"/>
    </xf>
    <xf numFmtId="0" fontId="26" fillId="0" borderId="0" xfId="0" applyFont="1" applyFill="1" applyBorder="1" applyAlignment="1">
      <alignment horizontal="center" vertical="center"/>
    </xf>
    <xf numFmtId="0" fontId="26" fillId="0" borderId="0" xfId="0" applyFont="1" applyFill="1" applyBorder="1" applyAlignment="1" applyProtection="1">
      <alignment horizontal="center" vertical="center" wrapText="1"/>
    </xf>
    <xf numFmtId="164" fontId="26" fillId="0" borderId="0" xfId="2" applyFont="1" applyFill="1" applyBorder="1" applyAlignment="1" applyProtection="1">
      <alignment horizontal="right" vertical="center"/>
      <protection locked="0"/>
    </xf>
    <xf numFmtId="43" fontId="25" fillId="0" borderId="0" xfId="31" applyNumberFormat="1" applyFont="1" applyFill="1" applyBorder="1" applyAlignment="1">
      <alignment horizontal="center" vertical="center" wrapText="1"/>
    </xf>
    <xf numFmtId="0" fontId="26" fillId="0" borderId="0" xfId="0" applyFont="1" applyFill="1" applyBorder="1" applyAlignment="1">
      <alignment horizontal="left" vertical="center" wrapText="1"/>
    </xf>
    <xf numFmtId="2" fontId="15" fillId="0" borderId="0" xfId="0" applyNumberFormat="1" applyFont="1" applyFill="1" applyBorder="1" applyAlignment="1">
      <alignment horizontal="center"/>
    </xf>
    <xf numFmtId="164" fontId="50" fillId="0" borderId="0" xfId="2" applyFont="1" applyFill="1" applyBorder="1"/>
    <xf numFmtId="0" fontId="16" fillId="0" borderId="0" xfId="6" applyFont="1" applyFill="1" applyBorder="1" applyAlignment="1">
      <alignment horizontal="left" vertical="center" wrapText="1"/>
    </xf>
    <xf numFmtId="0" fontId="16" fillId="0" borderId="0" xfId="0" applyFont="1" applyFill="1" applyBorder="1"/>
    <xf numFmtId="0" fontId="16" fillId="0" borderId="0" xfId="6" applyFont="1" applyBorder="1" applyAlignment="1">
      <alignment horizontal="left" vertical="top" wrapText="1"/>
    </xf>
    <xf numFmtId="0" fontId="16" fillId="0" borderId="0" xfId="0" applyFont="1" applyFill="1" applyBorder="1" applyAlignment="1">
      <alignment vertical="top" wrapText="1"/>
    </xf>
    <xf numFmtId="164" fontId="16" fillId="0" borderId="0" xfId="2" applyFont="1" applyFill="1" applyBorder="1" applyAlignment="1">
      <alignment vertical="center" wrapText="1"/>
    </xf>
    <xf numFmtId="0" fontId="16" fillId="0" borderId="0" xfId="0" applyFont="1" applyFill="1" applyBorder="1" applyAlignment="1">
      <alignment horizontal="justify" vertical="center"/>
    </xf>
    <xf numFmtId="164" fontId="16" fillId="0" borderId="0" xfId="2" applyFont="1" applyFill="1" applyBorder="1" applyAlignment="1">
      <alignment vertical="top" wrapText="1"/>
    </xf>
    <xf numFmtId="0" fontId="15" fillId="0" borderId="0" xfId="0" applyFont="1" applyFill="1" applyBorder="1" applyAlignment="1">
      <alignment vertical="top" wrapText="1"/>
    </xf>
    <xf numFmtId="2" fontId="15" fillId="0" borderId="0" xfId="0" applyNumberFormat="1" applyFont="1" applyFill="1" applyAlignment="1">
      <alignment horizontal="center"/>
    </xf>
    <xf numFmtId="164" fontId="15" fillId="0" borderId="0" xfId="2" applyFont="1" applyFill="1"/>
    <xf numFmtId="4" fontId="15" fillId="0" borderId="0" xfId="2" applyNumberFormat="1" applyFont="1" applyFill="1" applyBorder="1" applyAlignment="1">
      <alignment horizontal="right" vertical="center" wrapText="1"/>
    </xf>
    <xf numFmtId="0" fontId="16" fillId="0" borderId="14" xfId="32" applyFont="1" applyFill="1" applyBorder="1" applyAlignment="1">
      <alignment horizontal="left" vertical="center" wrapText="1"/>
    </xf>
    <xf numFmtId="0" fontId="15" fillId="0" borderId="0" xfId="32" applyFont="1" applyFill="1" applyBorder="1" applyAlignment="1">
      <alignment horizontal="left" vertical="top" wrapText="1"/>
    </xf>
    <xf numFmtId="0" fontId="50" fillId="0" borderId="0" xfId="0" applyFont="1" applyFill="1"/>
    <xf numFmtId="165" fontId="16" fillId="0" borderId="68" xfId="2" applyNumberFormat="1" applyFont="1" applyFill="1" applyBorder="1" applyAlignment="1">
      <alignment horizontal="center" vertical="center" wrapText="1"/>
    </xf>
    <xf numFmtId="164" fontId="16" fillId="0" borderId="68" xfId="33" applyFont="1" applyFill="1" applyBorder="1" applyAlignment="1">
      <alignment horizontal="center" vertical="center" wrapText="1"/>
    </xf>
    <xf numFmtId="165" fontId="16" fillId="0" borderId="0" xfId="2" applyNumberFormat="1" applyFont="1" applyFill="1" applyBorder="1" applyAlignment="1">
      <alignment horizontal="center" vertical="center" wrapText="1"/>
    </xf>
    <xf numFmtId="164" fontId="16" fillId="0" borderId="0" xfId="33" applyFont="1" applyFill="1" applyBorder="1" applyAlignment="1">
      <alignment horizontal="center" vertical="center" wrapText="1"/>
    </xf>
    <xf numFmtId="0" fontId="19" fillId="0" borderId="13" xfId="0" applyFont="1" applyFill="1" applyBorder="1" applyAlignment="1">
      <alignment vertical="center"/>
    </xf>
    <xf numFmtId="0" fontId="25" fillId="0" borderId="13" xfId="0" applyFont="1" applyFill="1" applyBorder="1" applyAlignment="1">
      <alignment vertical="center"/>
    </xf>
    <xf numFmtId="0" fontId="25" fillId="0" borderId="13" xfId="0" applyFont="1" applyFill="1" applyBorder="1" applyAlignment="1">
      <alignment horizontal="justify" vertical="center" wrapText="1"/>
    </xf>
    <xf numFmtId="0" fontId="25" fillId="0" borderId="13" xfId="0" applyFont="1" applyFill="1" applyBorder="1" applyAlignment="1">
      <alignment horizontal="left" vertical="center" wrapText="1"/>
    </xf>
    <xf numFmtId="0" fontId="25" fillId="0" borderId="13" xfId="0" applyFont="1" applyFill="1" applyBorder="1" applyAlignment="1">
      <alignment horizontal="justify" vertical="center"/>
    </xf>
    <xf numFmtId="0" fontId="26" fillId="0" borderId="13" xfId="0" applyFont="1" applyFill="1" applyBorder="1" applyAlignment="1">
      <alignment vertical="center"/>
    </xf>
    <xf numFmtId="0" fontId="62" fillId="0" borderId="13" xfId="0" applyFont="1" applyFill="1" applyBorder="1" applyAlignment="1">
      <alignment vertical="center"/>
    </xf>
    <xf numFmtId="0" fontId="25" fillId="0" borderId="13" xfId="0" applyFont="1" applyFill="1" applyBorder="1" applyAlignment="1">
      <alignment horizontal="left" vertical="center"/>
    </xf>
    <xf numFmtId="0" fontId="16" fillId="0" borderId="33" xfId="32" applyFont="1" applyFill="1" applyBorder="1" applyAlignment="1">
      <alignment horizontal="center" vertical="center" wrapText="1"/>
    </xf>
    <xf numFmtId="165" fontId="16" fillId="0" borderId="79" xfId="2" applyNumberFormat="1" applyFont="1" applyFill="1" applyBorder="1" applyAlignment="1">
      <alignment horizontal="center" vertical="center" wrapText="1"/>
    </xf>
    <xf numFmtId="164" fontId="16" fillId="0" borderId="79" xfId="33" applyFont="1" applyFill="1" applyBorder="1" applyAlignment="1">
      <alignment horizontal="center" vertical="center" wrapText="1"/>
    </xf>
    <xf numFmtId="4" fontId="16" fillId="0" borderId="33" xfId="2" applyNumberFormat="1" applyFont="1" applyFill="1" applyBorder="1" applyAlignment="1">
      <alignment horizontal="center" vertical="center" wrapText="1"/>
    </xf>
    <xf numFmtId="164" fontId="25" fillId="0" borderId="0" xfId="2" applyFont="1" applyFill="1" applyBorder="1" applyAlignment="1">
      <alignment vertical="center" wrapText="1"/>
    </xf>
    <xf numFmtId="0" fontId="25" fillId="0" borderId="0" xfId="0" applyFont="1" applyFill="1" applyBorder="1" applyAlignment="1">
      <alignment vertical="center"/>
    </xf>
    <xf numFmtId="0" fontId="25" fillId="0" borderId="0" xfId="0" applyFont="1" applyFill="1" applyAlignment="1">
      <alignment vertical="center"/>
    </xf>
    <xf numFmtId="164" fontId="25" fillId="0" borderId="0" xfId="6" applyNumberFormat="1" applyFont="1" applyFill="1" applyAlignment="1">
      <alignment vertical="center"/>
    </xf>
    <xf numFmtId="2" fontId="25" fillId="0" borderId="0" xfId="30" applyNumberFormat="1" applyFont="1" applyFill="1" applyBorder="1" applyAlignment="1">
      <alignment vertical="center" wrapText="1"/>
    </xf>
    <xf numFmtId="0" fontId="25" fillId="0" borderId="0" xfId="6" applyFont="1" applyFill="1" applyAlignment="1">
      <alignment vertical="center"/>
    </xf>
    <xf numFmtId="0" fontId="15" fillId="0" borderId="13" xfId="6" applyFont="1" applyFill="1" applyBorder="1" applyAlignment="1">
      <alignment wrapText="1"/>
    </xf>
    <xf numFmtId="165" fontId="15" fillId="0" borderId="0" xfId="0" applyNumberFormat="1" applyFont="1" applyFill="1" applyBorder="1" applyAlignment="1">
      <alignment horizontal="center" vertical="center"/>
    </xf>
    <xf numFmtId="0" fontId="25" fillId="0" borderId="13" xfId="0" applyFont="1" applyFill="1" applyBorder="1" applyAlignment="1">
      <alignment horizontal="center" vertical="center" wrapText="1"/>
    </xf>
    <xf numFmtId="0" fontId="25" fillId="0" borderId="13" xfId="6" applyFont="1" applyFill="1" applyBorder="1" applyAlignment="1">
      <alignment horizontal="left" vertical="top" wrapText="1"/>
    </xf>
    <xf numFmtId="4" fontId="25" fillId="0" borderId="13" xfId="0" applyNumberFormat="1" applyFont="1" applyFill="1" applyBorder="1" applyAlignment="1">
      <alignment horizontal="center" vertical="center" wrapText="1"/>
    </xf>
    <xf numFmtId="0" fontId="25" fillId="0" borderId="0" xfId="0" applyFont="1" applyFill="1"/>
    <xf numFmtId="0" fontId="25" fillId="0" borderId="0" xfId="0" applyFont="1" applyFill="1" applyBorder="1"/>
    <xf numFmtId="0" fontId="15" fillId="0" borderId="14" xfId="0" applyFont="1" applyFill="1" applyBorder="1" applyAlignment="1" applyProtection="1">
      <alignment horizontal="center" vertical="center"/>
    </xf>
    <xf numFmtId="0" fontId="25" fillId="0" borderId="33" xfId="0" applyFont="1" applyFill="1" applyBorder="1" applyAlignment="1">
      <alignment horizontal="center" vertical="center" wrapText="1"/>
    </xf>
    <xf numFmtId="165" fontId="15" fillId="0" borderId="79" xfId="30" applyNumberFormat="1" applyFont="1" applyFill="1" applyBorder="1" applyAlignment="1">
      <alignment horizontal="center" vertical="center" wrapText="1"/>
    </xf>
    <xf numFmtId="164" fontId="15" fillId="0" borderId="33" xfId="2" applyFont="1" applyFill="1" applyBorder="1" applyAlignment="1">
      <alignment horizontal="center" vertical="center" wrapText="1"/>
    </xf>
    <xf numFmtId="43" fontId="15" fillId="0" borderId="33" xfId="31" applyNumberFormat="1" applyFont="1" applyFill="1" applyBorder="1" applyAlignment="1">
      <alignment horizontal="center" vertical="center" wrapText="1"/>
    </xf>
    <xf numFmtId="0" fontId="25" fillId="0" borderId="32" xfId="0" applyFont="1" applyFill="1" applyBorder="1" applyAlignment="1">
      <alignment horizontal="center" vertical="center" wrapText="1"/>
    </xf>
    <xf numFmtId="165" fontId="15" fillId="0" borderId="32" xfId="0" applyNumberFormat="1" applyFont="1" applyFill="1" applyBorder="1" applyAlignment="1">
      <alignment horizontal="center" vertical="center"/>
    </xf>
    <xf numFmtId="0" fontId="25" fillId="0" borderId="32" xfId="0" applyFont="1" applyFill="1" applyBorder="1" applyAlignment="1" applyProtection="1">
      <alignment horizontal="center" vertical="center" wrapText="1"/>
    </xf>
    <xf numFmtId="4" fontId="25" fillId="0" borderId="32" xfId="0" applyNumberFormat="1" applyFont="1" applyFill="1" applyBorder="1" applyAlignment="1">
      <alignment horizontal="center" vertical="center" wrapText="1"/>
    </xf>
    <xf numFmtId="0" fontId="25" fillId="0" borderId="13" xfId="0" applyFont="1" applyFill="1" applyBorder="1" applyAlignment="1" applyProtection="1">
      <alignment horizontal="center" vertical="center" wrapText="1"/>
    </xf>
    <xf numFmtId="164" fontId="25" fillId="0" borderId="0" xfId="2" applyFont="1" applyFill="1" applyBorder="1" applyAlignment="1">
      <alignment horizontal="center" vertical="top" wrapText="1"/>
    </xf>
    <xf numFmtId="164" fontId="25" fillId="0" borderId="0" xfId="30" applyNumberFormat="1" applyFont="1" applyFill="1" applyBorder="1" applyAlignment="1">
      <alignment horizontal="center" vertical="center" wrapText="1"/>
    </xf>
    <xf numFmtId="0" fontId="25" fillId="0" borderId="0" xfId="0" applyFont="1" applyFill="1" applyBorder="1" applyAlignment="1" applyProtection="1">
      <alignment horizontal="center" vertical="center" wrapText="1"/>
    </xf>
    <xf numFmtId="0" fontId="25" fillId="0" borderId="0" xfId="6" applyFont="1" applyFill="1" applyAlignment="1">
      <alignment horizontal="center" vertical="center" wrapText="1"/>
    </xf>
    <xf numFmtId="0" fontId="25" fillId="0" borderId="0" xfId="6" applyFont="1" applyFill="1" applyAlignment="1">
      <alignment wrapText="1"/>
    </xf>
    <xf numFmtId="164" fontId="25" fillId="0" borderId="0" xfId="6" applyNumberFormat="1" applyFont="1" applyFill="1" applyAlignment="1">
      <alignment wrapText="1"/>
    </xf>
    <xf numFmtId="0" fontId="25" fillId="0" borderId="13" xfId="0" applyFont="1" applyFill="1" applyBorder="1" applyAlignment="1">
      <alignment vertical="center" wrapText="1"/>
    </xf>
    <xf numFmtId="164" fontId="25" fillId="0" borderId="13" xfId="2" applyFont="1" applyFill="1" applyBorder="1" applyAlignment="1">
      <alignment vertical="center"/>
    </xf>
    <xf numFmtId="164" fontId="25" fillId="0" borderId="13" xfId="2" applyFont="1" applyFill="1" applyBorder="1" applyAlignment="1">
      <alignment horizontal="center" vertical="center" wrapText="1"/>
    </xf>
    <xf numFmtId="43" fontId="25" fillId="0" borderId="13" xfId="31" applyNumberFormat="1" applyFont="1" applyFill="1" applyBorder="1" applyAlignment="1">
      <alignment horizontal="center" vertical="top" wrapText="1"/>
    </xf>
    <xf numFmtId="165" fontId="15" fillId="0" borderId="24" xfId="30" applyNumberFormat="1" applyFont="1" applyFill="1" applyBorder="1" applyAlignment="1">
      <alignment horizontal="center" vertical="center" wrapText="1"/>
    </xf>
    <xf numFmtId="0" fontId="25" fillId="0" borderId="13" xfId="0" applyFont="1" applyFill="1" applyBorder="1" applyAlignment="1" applyProtection="1">
      <alignment horizontal="center" vertical="center"/>
    </xf>
    <xf numFmtId="164" fontId="25" fillId="0" borderId="13" xfId="2" applyFont="1" applyFill="1" applyBorder="1" applyAlignment="1">
      <alignment vertical="center" wrapText="1"/>
    </xf>
    <xf numFmtId="43" fontId="25" fillId="0" borderId="13" xfId="31" applyNumberFormat="1" applyFont="1" applyFill="1" applyBorder="1" applyAlignment="1">
      <alignment vertical="center" wrapText="1"/>
    </xf>
    <xf numFmtId="43" fontId="25" fillId="0" borderId="0" xfId="31" applyNumberFormat="1" applyFont="1" applyFill="1" applyBorder="1" applyAlignment="1">
      <alignment vertical="center" wrapText="1"/>
    </xf>
    <xf numFmtId="164" fontId="25" fillId="0" borderId="0" xfId="2" applyFont="1" applyFill="1" applyBorder="1" applyAlignment="1">
      <alignment vertical="center"/>
    </xf>
    <xf numFmtId="165" fontId="15" fillId="0" borderId="0" xfId="2" applyNumberFormat="1" applyFont="1" applyFill="1" applyBorder="1" applyAlignment="1">
      <alignment horizontal="center" vertical="center"/>
    </xf>
    <xf numFmtId="0" fontId="25" fillId="0" borderId="13" xfId="32" applyFont="1" applyFill="1" applyBorder="1" applyAlignment="1">
      <alignment horizontal="center" vertical="center"/>
    </xf>
    <xf numFmtId="164" fontId="25" fillId="0" borderId="0" xfId="2" applyFont="1" applyFill="1" applyBorder="1" applyAlignment="1">
      <alignment horizontal="left" vertical="center" wrapText="1"/>
    </xf>
    <xf numFmtId="3" fontId="25" fillId="0" borderId="13" xfId="6" applyNumberFormat="1" applyFont="1" applyFill="1" applyBorder="1" applyAlignment="1">
      <alignment horizontal="center" vertical="center"/>
    </xf>
    <xf numFmtId="171" fontId="25" fillId="0" borderId="13" xfId="36" applyFont="1" applyFill="1" applyBorder="1" applyAlignment="1" applyProtection="1">
      <alignment horizontal="left" vertical="center"/>
    </xf>
    <xf numFmtId="43" fontId="25" fillId="0" borderId="24" xfId="31" applyNumberFormat="1" applyFont="1" applyFill="1" applyBorder="1" applyAlignment="1">
      <alignment vertical="center" wrapText="1"/>
    </xf>
    <xf numFmtId="0" fontId="16" fillId="0" borderId="12" xfId="0" applyFont="1" applyFill="1" applyBorder="1" applyAlignment="1">
      <alignment horizontal="center" vertical="center"/>
    </xf>
    <xf numFmtId="165" fontId="15" fillId="0" borderId="68" xfId="2" applyNumberFormat="1" applyFont="1" applyFill="1" applyBorder="1" applyAlignment="1" applyProtection="1">
      <alignment horizontal="center" vertical="center" wrapText="1"/>
    </xf>
    <xf numFmtId="0" fontId="16" fillId="0" borderId="12" xfId="0" applyFont="1" applyFill="1" applyBorder="1" applyAlignment="1" applyProtection="1">
      <alignment horizontal="center" vertical="center" wrapText="1"/>
    </xf>
    <xf numFmtId="164" fontId="16" fillId="0" borderId="68" xfId="2" applyNumberFormat="1" applyFont="1" applyFill="1" applyBorder="1" applyAlignment="1" applyProtection="1">
      <alignment horizontal="right" vertical="center"/>
      <protection locked="0"/>
    </xf>
    <xf numFmtId="0" fontId="25" fillId="0" borderId="0" xfId="0" applyFont="1" applyFill="1" applyBorder="1" applyAlignment="1">
      <alignment horizontal="left" vertical="center" wrapText="1"/>
    </xf>
    <xf numFmtId="0" fontId="25" fillId="0" borderId="0" xfId="0" applyFont="1" applyFill="1" applyBorder="1" applyAlignment="1">
      <alignment horizontal="left" vertical="center"/>
    </xf>
    <xf numFmtId="1" fontId="15" fillId="0" borderId="0" xfId="0" applyNumberFormat="1" applyFont="1" applyFill="1" applyAlignment="1">
      <alignment horizontal="center"/>
    </xf>
    <xf numFmtId="165" fontId="15" fillId="0" borderId="0" xfId="0" applyNumberFormat="1" applyFont="1" applyFill="1" applyBorder="1" applyAlignment="1">
      <alignment horizontal="center"/>
    </xf>
    <xf numFmtId="0" fontId="16" fillId="0" borderId="0" xfId="0" applyFont="1" applyFill="1" applyBorder="1" applyAlignment="1">
      <alignment horizontal="left" vertical="top" wrapText="1"/>
    </xf>
    <xf numFmtId="0" fontId="15" fillId="0" borderId="0" xfId="0" applyFont="1" applyFill="1" applyBorder="1" applyAlignment="1">
      <alignment horizontal="justify" vertical="center"/>
    </xf>
    <xf numFmtId="165" fontId="15" fillId="0" borderId="0" xfId="0" applyNumberFormat="1" applyFont="1" applyFill="1" applyAlignment="1">
      <alignment horizontal="center"/>
    </xf>
    <xf numFmtId="0" fontId="60" fillId="0" borderId="0" xfId="0" applyFont="1" applyFill="1" applyAlignment="1">
      <alignment horizontal="right"/>
    </xf>
    <xf numFmtId="4" fontId="60" fillId="0" borderId="0" xfId="2" applyNumberFormat="1" applyFont="1" applyFill="1" applyBorder="1" applyAlignment="1">
      <alignment horizontal="right" vertical="top" wrapText="1"/>
    </xf>
    <xf numFmtId="1" fontId="18" fillId="0" borderId="77" xfId="15" applyNumberFormat="1" applyFont="1" applyBorder="1" applyAlignment="1">
      <alignment vertical="center"/>
    </xf>
    <xf numFmtId="1" fontId="18" fillId="0" borderId="76" xfId="15" applyNumberFormat="1" applyFont="1" applyBorder="1" applyAlignment="1">
      <alignment vertical="center"/>
    </xf>
    <xf numFmtId="165" fontId="15" fillId="0" borderId="76" xfId="15" applyNumberFormat="1" applyFont="1" applyFill="1" applyBorder="1" applyAlignment="1">
      <alignment horizontal="left"/>
    </xf>
    <xf numFmtId="2" fontId="15" fillId="0" borderId="76" xfId="15" applyNumberFormat="1" applyFont="1" applyFill="1" applyBorder="1" applyAlignment="1">
      <alignment horizontal="left"/>
    </xf>
    <xf numFmtId="0" fontId="15" fillId="0" borderId="76" xfId="15" applyFont="1" applyFill="1" applyBorder="1" applyAlignment="1">
      <alignment horizontal="left" vertical="center"/>
    </xf>
    <xf numFmtId="0" fontId="15" fillId="0" borderId="41" xfId="15" applyFont="1" applyFill="1" applyBorder="1" applyAlignment="1">
      <alignment horizontal="left"/>
    </xf>
    <xf numFmtId="1" fontId="18" fillId="0" borderId="14" xfId="15" applyNumberFormat="1" applyFont="1" applyBorder="1" applyAlignment="1">
      <alignment vertical="center"/>
    </xf>
    <xf numFmtId="1" fontId="18" fillId="0" borderId="0" xfId="15" applyNumberFormat="1" applyFont="1" applyFill="1" applyBorder="1" applyAlignment="1">
      <alignment vertical="center"/>
    </xf>
    <xf numFmtId="165" fontId="15" fillId="0" borderId="0" xfId="15" applyNumberFormat="1" applyFont="1" applyFill="1" applyBorder="1" applyAlignment="1">
      <alignment horizontal="left"/>
    </xf>
    <xf numFmtId="2" fontId="15" fillId="0" borderId="0" xfId="15" applyNumberFormat="1" applyFont="1" applyFill="1" applyBorder="1" applyAlignment="1"/>
    <xf numFmtId="0" fontId="15" fillId="0" borderId="24" xfId="15" applyFont="1" applyFill="1" applyBorder="1" applyAlignment="1">
      <alignment horizontal="left"/>
    </xf>
    <xf numFmtId="1" fontId="18" fillId="0" borderId="14" xfId="15" applyNumberFormat="1" applyFont="1" applyFill="1" applyBorder="1" applyAlignment="1">
      <alignment horizontal="left" vertical="center"/>
    </xf>
    <xf numFmtId="2" fontId="15" fillId="0" borderId="0" xfId="15" applyNumberFormat="1" applyFont="1" applyFill="1" applyBorder="1" applyAlignment="1">
      <alignment horizontal="left"/>
    </xf>
    <xf numFmtId="0" fontId="15" fillId="0" borderId="0" xfId="15" applyFont="1" applyFill="1" applyBorder="1" applyAlignment="1">
      <alignment horizontal="left" vertical="center"/>
    </xf>
    <xf numFmtId="1" fontId="16" fillId="0" borderId="33" xfId="15" applyNumberFormat="1" applyFont="1" applyFill="1" applyBorder="1" applyAlignment="1">
      <alignment horizontal="center" vertical="top" wrapText="1"/>
    </xf>
    <xf numFmtId="0" fontId="15" fillId="0" borderId="79" xfId="15" applyFont="1" applyFill="1" applyBorder="1" applyAlignment="1">
      <alignment vertical="top" wrapText="1"/>
    </xf>
    <xf numFmtId="165" fontId="15" fillId="0" borderId="33" xfId="2" applyNumberFormat="1" applyFont="1" applyFill="1" applyBorder="1" applyAlignment="1">
      <alignment horizontal="center" vertical="center" wrapText="1"/>
    </xf>
    <xf numFmtId="1" fontId="16" fillId="0" borderId="32" xfId="15" applyNumberFormat="1" applyFont="1" applyFill="1" applyBorder="1" applyAlignment="1">
      <alignment horizontal="center" vertical="top" wrapText="1"/>
    </xf>
    <xf numFmtId="0" fontId="15" fillId="0" borderId="76" xfId="15" applyFont="1" applyFill="1" applyBorder="1" applyAlignment="1">
      <alignment vertical="top" wrapText="1"/>
    </xf>
    <xf numFmtId="165" fontId="15" fillId="0" borderId="32" xfId="2" applyNumberFormat="1" applyFont="1" applyFill="1" applyBorder="1" applyAlignment="1">
      <alignment horizontal="center" vertical="center" wrapText="1"/>
    </xf>
    <xf numFmtId="164" fontId="15" fillId="0" borderId="32" xfId="2" applyFont="1" applyFill="1" applyBorder="1" applyAlignment="1">
      <alignment horizontal="center" vertical="center" wrapText="1"/>
    </xf>
    <xf numFmtId="43" fontId="15" fillId="0" borderId="32" xfId="31" applyNumberFormat="1" applyFont="1" applyFill="1" applyBorder="1" applyAlignment="1">
      <alignment horizontal="center" vertical="center" wrapText="1"/>
    </xf>
    <xf numFmtId="1" fontId="15" fillId="0" borderId="33" xfId="15" applyNumberFormat="1" applyFont="1" applyFill="1" applyBorder="1" applyAlignment="1">
      <alignment horizontal="center" wrapText="1"/>
    </xf>
    <xf numFmtId="0" fontId="16" fillId="0" borderId="79" xfId="15" applyFont="1" applyFill="1" applyBorder="1" applyAlignment="1">
      <alignment vertical="center" wrapText="1"/>
    </xf>
    <xf numFmtId="165" fontId="15" fillId="0" borderId="33" xfId="30" applyNumberFormat="1" applyFont="1" applyFill="1" applyBorder="1" applyAlignment="1">
      <alignment horizontal="center" vertical="center" wrapText="1"/>
    </xf>
    <xf numFmtId="0" fontId="15" fillId="0" borderId="33" xfId="15" applyFont="1" applyFill="1" applyBorder="1" applyAlignment="1" applyProtection="1">
      <alignment horizontal="center" vertical="center" wrapText="1"/>
    </xf>
    <xf numFmtId="1" fontId="15" fillId="0" borderId="32" xfId="15" applyNumberFormat="1" applyFont="1" applyFill="1" applyBorder="1" applyAlignment="1">
      <alignment horizontal="center" wrapText="1"/>
    </xf>
    <xf numFmtId="0" fontId="16" fillId="0" borderId="76" xfId="15" applyFont="1" applyFill="1" applyBorder="1" applyAlignment="1">
      <alignment vertical="center" wrapText="1"/>
    </xf>
    <xf numFmtId="165" fontId="15" fillId="0" borderId="32" xfId="30" applyNumberFormat="1" applyFont="1" applyFill="1" applyBorder="1" applyAlignment="1">
      <alignment horizontal="center" vertical="center" wrapText="1"/>
    </xf>
    <xf numFmtId="0" fontId="15" fillId="0" borderId="32" xfId="15" applyFont="1" applyFill="1" applyBorder="1" applyAlignment="1" applyProtection="1">
      <alignment horizontal="center" vertical="center" wrapText="1"/>
    </xf>
    <xf numFmtId="1" fontId="15" fillId="0" borderId="33" xfId="30" applyNumberFormat="1" applyFont="1" applyFill="1" applyBorder="1" applyAlignment="1">
      <alignment horizontal="center" vertical="center" wrapText="1"/>
    </xf>
    <xf numFmtId="0" fontId="15" fillId="0" borderId="78" xfId="6" applyFont="1" applyFill="1" applyBorder="1" applyAlignment="1">
      <alignment horizontal="left" vertical="center" wrapText="1"/>
    </xf>
    <xf numFmtId="1" fontId="15" fillId="0" borderId="32" xfId="30" applyNumberFormat="1" applyFont="1" applyFill="1" applyBorder="1" applyAlignment="1">
      <alignment horizontal="center" vertical="center" wrapText="1"/>
    </xf>
    <xf numFmtId="0" fontId="15" fillId="0" borderId="77" xfId="6" applyFont="1" applyFill="1" applyBorder="1" applyAlignment="1">
      <alignment horizontal="left" vertical="center" wrapText="1"/>
    </xf>
    <xf numFmtId="1" fontId="15" fillId="0" borderId="33" xfId="6" applyNumberFormat="1" applyFont="1" applyFill="1" applyBorder="1" applyAlignment="1">
      <alignment horizontal="center" vertical="center"/>
    </xf>
    <xf numFmtId="0" fontId="15" fillId="0" borderId="78" xfId="15" applyFont="1" applyFill="1" applyBorder="1" applyAlignment="1">
      <alignment vertical="center" wrapText="1"/>
    </xf>
    <xf numFmtId="1" fontId="15" fillId="0" borderId="32" xfId="6" applyNumberFormat="1" applyFont="1" applyFill="1" applyBorder="1" applyAlignment="1">
      <alignment horizontal="center" vertical="center"/>
    </xf>
    <xf numFmtId="0" fontId="16" fillId="0" borderId="77" xfId="30" applyFont="1" applyFill="1" applyBorder="1" applyAlignment="1">
      <alignment horizontal="left" vertical="top" wrapText="1"/>
    </xf>
    <xf numFmtId="0" fontId="15" fillId="0" borderId="78" xfId="15" applyFont="1" applyFill="1" applyBorder="1"/>
    <xf numFmtId="0" fontId="15" fillId="0" borderId="77" xfId="15" applyFont="1" applyFill="1" applyBorder="1"/>
    <xf numFmtId="0" fontId="15" fillId="0" borderId="78" xfId="30" applyFont="1" applyFill="1" applyBorder="1" applyAlignment="1">
      <alignment vertical="center" wrapText="1"/>
    </xf>
    <xf numFmtId="0" fontId="19" fillId="0" borderId="77" xfId="30" applyFont="1" applyFill="1" applyBorder="1" applyAlignment="1">
      <alignment horizontal="left" vertical="center" wrapText="1"/>
    </xf>
    <xf numFmtId="0" fontId="15" fillId="0" borderId="77" xfId="30" applyFont="1" applyFill="1" applyBorder="1" applyAlignment="1">
      <alignment horizontal="left" vertical="top" wrapText="1"/>
    </xf>
    <xf numFmtId="0" fontId="50" fillId="0" borderId="78" xfId="30" applyFont="1" applyFill="1" applyBorder="1" applyAlignment="1">
      <alignment horizontal="left" vertical="top" wrapText="1"/>
    </xf>
    <xf numFmtId="165" fontId="50" fillId="0" borderId="33" xfId="30" applyNumberFormat="1" applyFont="1" applyFill="1" applyBorder="1" applyAlignment="1">
      <alignment horizontal="center" vertical="center" wrapText="1"/>
    </xf>
    <xf numFmtId="0" fontId="50" fillId="0" borderId="33" xfId="15" applyFont="1" applyFill="1" applyBorder="1" applyAlignment="1" applyProtection="1">
      <alignment horizontal="center" vertical="center" wrapText="1"/>
    </xf>
    <xf numFmtId="164" fontId="50" fillId="0" borderId="33" xfId="2" applyFont="1" applyFill="1" applyBorder="1" applyAlignment="1">
      <alignment horizontal="center" vertical="center" wrapText="1"/>
    </xf>
    <xf numFmtId="43" fontId="50" fillId="0" borderId="33" xfId="31" applyNumberFormat="1" applyFont="1" applyFill="1" applyBorder="1" applyAlignment="1">
      <alignment horizontal="center" vertical="top" wrapText="1"/>
    </xf>
    <xf numFmtId="4" fontId="15" fillId="3" borderId="33" xfId="0" applyNumberFormat="1" applyFont="1" applyFill="1" applyBorder="1" applyAlignment="1">
      <alignment horizontal="justify" vertical="top" wrapText="1"/>
    </xf>
    <xf numFmtId="4" fontId="15" fillId="3" borderId="33" xfId="0" applyNumberFormat="1" applyFont="1" applyFill="1" applyBorder="1" applyAlignment="1">
      <alignment horizontal="center" vertical="center" wrapText="1"/>
    </xf>
    <xf numFmtId="164" fontId="15" fillId="3" borderId="33" xfId="29" applyFont="1" applyFill="1" applyBorder="1" applyAlignment="1">
      <alignment horizontal="center" vertical="center"/>
    </xf>
    <xf numFmtId="0" fontId="15" fillId="0" borderId="33" xfId="32" applyFont="1" applyFill="1" applyBorder="1" applyAlignment="1">
      <alignment horizontal="center" vertical="center" wrapText="1"/>
    </xf>
    <xf numFmtId="164" fontId="50" fillId="0" borderId="32" xfId="2" applyFont="1" applyFill="1" applyBorder="1" applyAlignment="1">
      <alignment horizontal="center" vertical="center" wrapText="1"/>
    </xf>
    <xf numFmtId="43" fontId="50" fillId="0" borderId="32" xfId="31" applyNumberFormat="1" applyFont="1" applyFill="1" applyBorder="1" applyAlignment="1">
      <alignment horizontal="center" vertical="center" wrapText="1"/>
    </xf>
    <xf numFmtId="43" fontId="15" fillId="0" borderId="12" xfId="31" applyNumberFormat="1" applyFont="1" applyFill="1" applyBorder="1" applyAlignment="1">
      <alignment horizontal="center" vertical="top" wrapText="1"/>
    </xf>
    <xf numFmtId="1" fontId="15" fillId="0" borderId="77" xfId="6" applyNumberFormat="1" applyFont="1" applyFill="1" applyBorder="1" applyAlignment="1">
      <alignment horizontal="center" vertical="center"/>
    </xf>
    <xf numFmtId="0" fontId="23" fillId="0" borderId="76" xfId="15" applyFont="1" applyFill="1" applyBorder="1" applyAlignment="1">
      <alignment horizontal="center" vertical="center"/>
    </xf>
    <xf numFmtId="165" fontId="15" fillId="0" borderId="76" xfId="2" applyNumberFormat="1" applyFont="1" applyFill="1" applyBorder="1" applyAlignment="1" applyProtection="1">
      <alignment horizontal="center" vertical="center" wrapText="1"/>
    </xf>
    <xf numFmtId="0" fontId="16" fillId="0" borderId="76" xfId="15" applyFont="1" applyFill="1" applyBorder="1" applyAlignment="1" applyProtection="1">
      <alignment horizontal="center" vertical="center" wrapText="1"/>
    </xf>
    <xf numFmtId="164" fontId="16" fillId="0" borderId="76" xfId="2" applyNumberFormat="1" applyFont="1" applyFill="1" applyBorder="1" applyAlignment="1" applyProtection="1">
      <alignment horizontal="right" vertical="center"/>
      <protection locked="0"/>
    </xf>
    <xf numFmtId="43" fontId="15" fillId="0" borderId="41" xfId="31" applyNumberFormat="1" applyFont="1" applyFill="1" applyBorder="1" applyAlignment="1">
      <alignment horizontal="center" vertical="top" wrapText="1"/>
    </xf>
    <xf numFmtId="1" fontId="15" fillId="0" borderId="14" xfId="6" applyNumberFormat="1" applyFont="1" applyFill="1" applyBorder="1" applyAlignment="1">
      <alignment horizontal="center" vertical="center"/>
    </xf>
    <xf numFmtId="1" fontId="15" fillId="0" borderId="14" xfId="15" applyNumberFormat="1" applyFont="1" applyFill="1" applyBorder="1" applyAlignment="1">
      <alignment horizontal="center" wrapText="1"/>
    </xf>
    <xf numFmtId="1" fontId="15" fillId="0" borderId="14" xfId="15" applyNumberFormat="1" applyFont="1" applyFill="1" applyBorder="1" applyAlignment="1">
      <alignment horizontal="center"/>
    </xf>
    <xf numFmtId="164" fontId="15" fillId="0" borderId="24" xfId="2" applyFont="1" applyFill="1" applyBorder="1" applyAlignment="1">
      <alignment horizontal="right"/>
    </xf>
    <xf numFmtId="0" fontId="15" fillId="0" borderId="24" xfId="15" applyFont="1" applyFill="1" applyBorder="1" applyAlignment="1">
      <alignment horizontal="right"/>
    </xf>
    <xf numFmtId="0" fontId="15" fillId="0" borderId="24" xfId="15" applyFont="1" applyFill="1" applyBorder="1"/>
    <xf numFmtId="1" fontId="15" fillId="0" borderId="78" xfId="15" applyNumberFormat="1" applyFont="1" applyFill="1" applyBorder="1" applyAlignment="1">
      <alignment horizontal="center"/>
    </xf>
    <xf numFmtId="0" fontId="16" fillId="0" borderId="79" xfId="15" applyFont="1" applyFill="1" applyBorder="1"/>
    <xf numFmtId="165" fontId="15" fillId="0" borderId="79" xfId="15" applyNumberFormat="1" applyFont="1" applyFill="1" applyBorder="1" applyAlignment="1">
      <alignment horizontal="center"/>
    </xf>
    <xf numFmtId="2" fontId="15" fillId="0" borderId="79" xfId="15" applyNumberFormat="1" applyFont="1" applyFill="1" applyBorder="1" applyAlignment="1">
      <alignment horizontal="center"/>
    </xf>
    <xf numFmtId="164" fontId="15" fillId="0" borderId="79" xfId="2" applyFont="1" applyFill="1" applyBorder="1"/>
    <xf numFmtId="0" fontId="15" fillId="0" borderId="71" xfId="15" applyFont="1" applyFill="1" applyBorder="1" applyAlignment="1">
      <alignment horizontal="right"/>
    </xf>
    <xf numFmtId="164" fontId="15" fillId="0" borderId="13" xfId="30" applyNumberFormat="1" applyFont="1" applyFill="1" applyBorder="1" applyAlignment="1">
      <alignment horizontal="center" vertical="top" wrapText="1"/>
    </xf>
    <xf numFmtId="1" fontId="18" fillId="0" borderId="77" xfId="0" applyNumberFormat="1" applyFont="1" applyFill="1" applyBorder="1" applyAlignment="1">
      <alignment vertical="center"/>
    </xf>
    <xf numFmtId="1" fontId="18" fillId="0" borderId="76" xfId="0" applyNumberFormat="1" applyFont="1" applyFill="1" applyBorder="1" applyAlignment="1">
      <alignment vertical="center"/>
    </xf>
    <xf numFmtId="165" fontId="32" fillId="0" borderId="76" xfId="0" applyNumberFormat="1" applyFont="1" applyFill="1" applyBorder="1" applyAlignment="1">
      <alignment horizontal="left" wrapText="1"/>
    </xf>
    <xf numFmtId="2" fontId="32" fillId="0" borderId="76" xfId="0" applyNumberFormat="1" applyFont="1" applyFill="1" applyBorder="1" applyAlignment="1">
      <alignment horizontal="left"/>
    </xf>
    <xf numFmtId="0" fontId="32" fillId="0" borderId="76" xfId="0" applyFont="1" applyFill="1" applyBorder="1" applyAlignment="1">
      <alignment horizontal="left" vertical="center"/>
    </xf>
    <xf numFmtId="0" fontId="32" fillId="0" borderId="41" xfId="0" applyFont="1" applyFill="1" applyBorder="1" applyAlignment="1">
      <alignment horizontal="left"/>
    </xf>
    <xf numFmtId="1" fontId="18" fillId="0" borderId="14" xfId="0" applyNumberFormat="1" applyFont="1" applyBorder="1" applyAlignment="1">
      <alignment vertical="center"/>
    </xf>
    <xf numFmtId="1" fontId="18" fillId="0" borderId="0" xfId="0" applyNumberFormat="1" applyFont="1" applyFill="1" applyBorder="1" applyAlignment="1">
      <alignment vertical="center"/>
    </xf>
    <xf numFmtId="165" fontId="32" fillId="0" borderId="0" xfId="0" applyNumberFormat="1" applyFont="1" applyFill="1" applyBorder="1" applyAlignment="1">
      <alignment horizontal="left"/>
    </xf>
    <xf numFmtId="2" fontId="32" fillId="0" borderId="0" xfId="0" applyNumberFormat="1" applyFont="1" applyFill="1" applyBorder="1" applyAlignment="1"/>
    <xf numFmtId="0" fontId="32" fillId="0" borderId="24" xfId="0" applyFont="1" applyFill="1" applyBorder="1" applyAlignment="1">
      <alignment horizontal="left"/>
    </xf>
    <xf numFmtId="170" fontId="19" fillId="0" borderId="14" xfId="0" applyNumberFormat="1" applyFont="1" applyFill="1" applyBorder="1" applyAlignment="1">
      <alignment vertical="center"/>
    </xf>
    <xf numFmtId="0" fontId="16" fillId="0" borderId="0" xfId="32" applyFont="1" applyFill="1" applyBorder="1" applyAlignment="1">
      <alignment horizontal="left" vertical="top" wrapText="1"/>
    </xf>
    <xf numFmtId="0" fontId="47" fillId="0" borderId="0" xfId="0" applyFont="1" applyFill="1" applyBorder="1" applyAlignment="1">
      <alignment horizontal="right" vertical="center"/>
    </xf>
    <xf numFmtId="0" fontId="47" fillId="0" borderId="0" xfId="0" applyFont="1" applyFill="1" applyBorder="1"/>
    <xf numFmtId="0" fontId="47" fillId="0" borderId="0" xfId="0" applyFont="1" applyFill="1" applyBorder="1" applyAlignment="1">
      <alignment vertical="center"/>
    </xf>
    <xf numFmtId="0" fontId="47" fillId="0" borderId="24" xfId="0" applyFont="1" applyFill="1" applyBorder="1"/>
    <xf numFmtId="0" fontId="15" fillId="0" borderId="77" xfId="30" applyFont="1" applyFill="1" applyBorder="1" applyAlignment="1">
      <alignment horizontal="center" vertical="center" wrapText="1"/>
    </xf>
    <xf numFmtId="0" fontId="15" fillId="0" borderId="32" xfId="6" applyFont="1" applyFill="1" applyBorder="1" applyAlignment="1">
      <alignment horizontal="justify" vertical="top" wrapText="1"/>
    </xf>
    <xf numFmtId="164" fontId="15" fillId="0" borderId="76" xfId="30" applyNumberFormat="1" applyFont="1" applyFill="1" applyBorder="1" applyAlignment="1">
      <alignment horizontal="center" vertical="top" wrapText="1"/>
    </xf>
    <xf numFmtId="1" fontId="15" fillId="0" borderId="78" xfId="0" applyNumberFormat="1" applyFont="1" applyFill="1" applyBorder="1" applyAlignment="1">
      <alignment horizontal="center" vertical="center" wrapText="1"/>
    </xf>
    <xf numFmtId="4" fontId="15" fillId="0" borderId="78" xfId="2" applyNumberFormat="1" applyFont="1" applyFill="1" applyBorder="1" applyAlignment="1">
      <alignment horizontal="center" vertical="center" wrapText="1"/>
    </xf>
    <xf numFmtId="1" fontId="15" fillId="0" borderId="33" xfId="2" applyNumberFormat="1" applyFont="1" applyFill="1" applyBorder="1" applyAlignment="1">
      <alignment horizontal="center" vertical="center" wrapText="1"/>
    </xf>
    <xf numFmtId="164" fontId="15" fillId="0" borderId="79" xfId="2" applyFont="1" applyFill="1" applyBorder="1" applyAlignment="1">
      <alignment horizontal="center" vertical="center" wrapText="1"/>
    </xf>
    <xf numFmtId="0" fontId="16" fillId="0" borderId="77" xfId="30" applyFont="1" applyFill="1" applyBorder="1" applyAlignment="1">
      <alignment horizontal="center" vertical="center"/>
    </xf>
    <xf numFmtId="0" fontId="16" fillId="0" borderId="32" xfId="6" applyFont="1" applyFill="1" applyBorder="1" applyAlignment="1">
      <alignment horizontal="justify" vertical="top" wrapText="1"/>
    </xf>
    <xf numFmtId="164" fontId="15" fillId="0" borderId="77" xfId="2" applyFont="1" applyFill="1" applyBorder="1" applyAlignment="1">
      <alignment horizontal="center" vertical="top"/>
    </xf>
    <xf numFmtId="164" fontId="15" fillId="0" borderId="32" xfId="2" applyFont="1" applyFill="1" applyBorder="1" applyAlignment="1">
      <alignment horizontal="center" vertical="top"/>
    </xf>
    <xf numFmtId="43" fontId="15" fillId="0" borderId="32" xfId="31" applyNumberFormat="1" applyFont="1" applyFill="1" applyBorder="1" applyAlignment="1">
      <alignment horizontal="center" vertical="top"/>
    </xf>
    <xf numFmtId="165" fontId="15" fillId="0" borderId="79" xfId="2" applyNumberFormat="1" applyFont="1" applyFill="1" applyBorder="1" applyAlignment="1">
      <alignment horizontal="center" vertical="center" wrapText="1"/>
    </xf>
    <xf numFmtId="0" fontId="15" fillId="0" borderId="33" xfId="0" applyFont="1" applyFill="1" applyBorder="1" applyAlignment="1">
      <alignment horizontal="center" vertical="center"/>
    </xf>
    <xf numFmtId="164" fontId="15" fillId="0" borderId="78" xfId="2" applyFont="1" applyFill="1" applyBorder="1" applyAlignment="1">
      <alignment horizontal="center" vertical="center" wrapText="1"/>
    </xf>
    <xf numFmtId="165" fontId="15" fillId="0" borderId="76" xfId="30" applyNumberFormat="1" applyFont="1" applyFill="1" applyBorder="1" applyAlignment="1">
      <alignment horizontal="center" vertical="center" wrapText="1"/>
    </xf>
    <xf numFmtId="164" fontId="15" fillId="0" borderId="32" xfId="30" applyNumberFormat="1" applyFont="1" applyFill="1" applyBorder="1" applyAlignment="1">
      <alignment horizontal="center" vertical="center" wrapText="1"/>
    </xf>
    <xf numFmtId="164" fontId="15" fillId="0" borderId="77" xfId="2" applyFont="1" applyFill="1" applyBorder="1" applyAlignment="1">
      <alignment horizontal="center" vertical="center" wrapText="1"/>
    </xf>
    <xf numFmtId="4" fontId="15" fillId="0" borderId="41" xfId="2" applyNumberFormat="1" applyFont="1" applyFill="1" applyBorder="1" applyAlignment="1">
      <alignment horizontal="right" vertical="center" wrapText="1"/>
    </xf>
    <xf numFmtId="0" fontId="23" fillId="0" borderId="14" xfId="35" applyFont="1" applyFill="1" applyBorder="1" applyAlignment="1" applyProtection="1">
      <alignment horizontal="centerContinuous" vertical="top"/>
      <protection locked="0"/>
    </xf>
    <xf numFmtId="0" fontId="23" fillId="0" borderId="0" xfId="35" applyFont="1" applyFill="1" applyBorder="1" applyAlignment="1" applyProtection="1">
      <alignment horizontal="left" vertical="center" wrapText="1"/>
      <protection locked="0"/>
    </xf>
    <xf numFmtId="1" fontId="23" fillId="0" borderId="0" xfId="35" applyNumberFormat="1" applyFont="1" applyFill="1" applyBorder="1" applyAlignment="1" applyProtection="1">
      <alignment horizontal="center" vertical="center"/>
      <protection locked="0"/>
    </xf>
    <xf numFmtId="0" fontId="23" fillId="0" borderId="0" xfId="35" applyFont="1" applyFill="1" applyBorder="1" applyAlignment="1" applyProtection="1">
      <alignment horizontal="center" vertical="center"/>
      <protection locked="0"/>
    </xf>
    <xf numFmtId="4" fontId="23" fillId="0" borderId="0" xfId="35" applyNumberFormat="1" applyFont="1" applyFill="1" applyBorder="1" applyAlignment="1" applyProtection="1">
      <alignment horizontal="right" vertical="center"/>
      <protection locked="0"/>
    </xf>
    <xf numFmtId="4" fontId="13" fillId="0" borderId="24" xfId="35" applyNumberFormat="1" applyFont="1" applyFill="1" applyBorder="1" applyAlignment="1" applyProtection="1">
      <alignment horizontal="right" vertical="center"/>
      <protection locked="0"/>
    </xf>
    <xf numFmtId="0" fontId="13" fillId="0" borderId="14" xfId="35" applyFont="1" applyFill="1" applyBorder="1" applyAlignment="1" applyProtection="1">
      <alignment horizontal="centerContinuous" vertical="top" wrapText="1"/>
      <protection locked="0"/>
    </xf>
    <xf numFmtId="0" fontId="16" fillId="0" borderId="0" xfId="0" applyFont="1" applyFill="1" applyBorder="1" applyAlignment="1">
      <alignment vertical="top"/>
    </xf>
    <xf numFmtId="4" fontId="15" fillId="0" borderId="0" xfId="35" applyNumberFormat="1" applyFont="1" applyFill="1" applyBorder="1" applyAlignment="1" applyProtection="1">
      <alignment horizontal="right" vertical="center" wrapText="1"/>
      <protection locked="0"/>
    </xf>
    <xf numFmtId="4" fontId="13" fillId="0" borderId="24" xfId="35" applyNumberFormat="1" applyFont="1" applyFill="1" applyBorder="1" applyAlignment="1" applyProtection="1">
      <alignment horizontal="right" vertical="center" wrapText="1"/>
      <protection locked="0"/>
    </xf>
    <xf numFmtId="0" fontId="13" fillId="0" borderId="78" xfId="35" applyFont="1" applyFill="1" applyBorder="1" applyAlignment="1" applyProtection="1">
      <alignment horizontal="centerContinuous" vertical="top" wrapText="1"/>
      <protection locked="0"/>
    </xf>
    <xf numFmtId="0" fontId="16" fillId="0" borderId="79" xfId="0" applyFont="1" applyFill="1" applyBorder="1" applyAlignment="1">
      <alignment horizontal="left" vertical="top" wrapText="1"/>
    </xf>
    <xf numFmtId="4" fontId="15" fillId="0" borderId="79" xfId="35" applyNumberFormat="1" applyFont="1" applyFill="1" applyBorder="1" applyAlignment="1" applyProtection="1">
      <alignment horizontal="right" vertical="center" wrapText="1"/>
      <protection locked="0"/>
    </xf>
    <xf numFmtId="4" fontId="13" fillId="0" borderId="71" xfId="35" applyNumberFormat="1" applyFont="1" applyFill="1" applyBorder="1" applyAlignment="1" applyProtection="1">
      <alignment horizontal="right" vertical="center" wrapText="1"/>
      <protection locked="0"/>
    </xf>
    <xf numFmtId="0" fontId="13" fillId="0" borderId="77" xfId="35" applyFont="1" applyFill="1" applyBorder="1" applyAlignment="1" applyProtection="1">
      <alignment horizontal="centerContinuous" vertical="top"/>
      <protection locked="0"/>
    </xf>
    <xf numFmtId="0" fontId="16" fillId="0" borderId="76" xfId="0" applyFont="1" applyFill="1" applyBorder="1" applyAlignment="1">
      <alignment vertical="top" wrapText="1"/>
    </xf>
    <xf numFmtId="4" fontId="15" fillId="0" borderId="76" xfId="35" applyNumberFormat="1" applyFont="1" applyFill="1" applyBorder="1" applyAlignment="1" applyProtection="1">
      <alignment horizontal="right" vertical="center"/>
      <protection locked="0"/>
    </xf>
    <xf numFmtId="4" fontId="13" fillId="0" borderId="41" xfId="35" applyNumberFormat="1" applyFont="1" applyFill="1" applyBorder="1" applyAlignment="1" applyProtection="1">
      <alignment horizontal="right" vertical="center"/>
      <protection locked="0"/>
    </xf>
    <xf numFmtId="0" fontId="13" fillId="0" borderId="14" xfId="35" applyFont="1" applyFill="1" applyBorder="1" applyAlignment="1" applyProtection="1">
      <alignment horizontal="centerContinuous" vertical="top"/>
      <protection locked="0"/>
    </xf>
    <xf numFmtId="4" fontId="15" fillId="0" borderId="0" xfId="35" applyNumberFormat="1" applyFont="1" applyFill="1" applyBorder="1" applyAlignment="1" applyProtection="1">
      <alignment horizontal="right" vertical="center"/>
      <protection locked="0"/>
    </xf>
    <xf numFmtId="3" fontId="15" fillId="0" borderId="0" xfId="35" applyNumberFormat="1" applyFont="1" applyFill="1" applyBorder="1" applyAlignment="1" applyProtection="1">
      <alignment horizontal="center" vertical="center"/>
      <protection locked="0"/>
    </xf>
    <xf numFmtId="0" fontId="23" fillId="0" borderId="0" xfId="0" applyFont="1" applyFill="1" applyBorder="1"/>
    <xf numFmtId="3" fontId="13" fillId="0" borderId="0" xfId="35" applyNumberFormat="1" applyFont="1" applyFill="1" applyBorder="1" applyAlignment="1" applyProtection="1">
      <alignment horizontal="center" vertical="center"/>
      <protection locked="0"/>
    </xf>
    <xf numFmtId="0" fontId="13" fillId="0" borderId="0" xfId="0" applyFont="1" applyFill="1" applyBorder="1"/>
    <xf numFmtId="4" fontId="13" fillId="0" borderId="0" xfId="35" applyNumberFormat="1" applyFont="1" applyFill="1" applyBorder="1" applyAlignment="1" applyProtection="1">
      <alignment horizontal="right" vertical="center"/>
      <protection locked="0"/>
    </xf>
    <xf numFmtId="0" fontId="13" fillId="0" borderId="78" xfId="35" applyFont="1" applyFill="1" applyBorder="1" applyAlignment="1" applyProtection="1">
      <alignment horizontal="centerContinuous" vertical="top"/>
      <protection locked="0"/>
    </xf>
    <xf numFmtId="0" fontId="16" fillId="0" borderId="79" xfId="0" applyFont="1" applyFill="1" applyBorder="1"/>
    <xf numFmtId="3" fontId="13" fillId="0" borderId="79" xfId="35" applyNumberFormat="1" applyFont="1" applyFill="1" applyBorder="1" applyAlignment="1" applyProtection="1">
      <alignment horizontal="center" vertical="center"/>
      <protection locked="0"/>
    </xf>
    <xf numFmtId="0" fontId="13" fillId="0" borderId="79" xfId="0" applyFont="1" applyFill="1" applyBorder="1"/>
    <xf numFmtId="4" fontId="13" fillId="0" borderId="79" xfId="35" applyNumberFormat="1" applyFont="1" applyFill="1" applyBorder="1" applyAlignment="1" applyProtection="1">
      <alignment horizontal="right" vertical="center"/>
      <protection locked="0"/>
    </xf>
    <xf numFmtId="4" fontId="13" fillId="0" borderId="71" xfId="35" applyNumberFormat="1" applyFont="1" applyFill="1" applyBorder="1" applyAlignment="1" applyProtection="1">
      <alignment horizontal="right" vertical="center"/>
      <protection locked="0"/>
    </xf>
    <xf numFmtId="1" fontId="15" fillId="0" borderId="14" xfId="2" applyNumberFormat="1" applyFont="1" applyFill="1" applyBorder="1" applyAlignment="1">
      <alignment horizontal="right" vertical="center"/>
    </xf>
    <xf numFmtId="4" fontId="16" fillId="0" borderId="24" xfId="2" applyNumberFormat="1" applyFont="1" applyFill="1" applyBorder="1" applyAlignment="1">
      <alignment horizontal="right" vertical="center" wrapText="1"/>
    </xf>
    <xf numFmtId="165" fontId="15" fillId="0" borderId="76" xfId="0" applyNumberFormat="1" applyFont="1" applyFill="1" applyBorder="1" applyAlignment="1">
      <alignment horizontal="left"/>
    </xf>
    <xf numFmtId="2" fontId="15" fillId="0" borderId="76" xfId="0" applyNumberFormat="1" applyFont="1" applyFill="1" applyBorder="1" applyAlignment="1">
      <alignment horizontal="left"/>
    </xf>
    <xf numFmtId="164" fontId="15" fillId="0" borderId="76" xfId="2" applyFont="1" applyFill="1" applyBorder="1" applyAlignment="1">
      <alignment horizontal="left" vertical="center"/>
    </xf>
    <xf numFmtId="0" fontId="15" fillId="0" borderId="41" xfId="0" applyFont="1" applyFill="1" applyBorder="1" applyAlignment="1">
      <alignment horizontal="left"/>
    </xf>
    <xf numFmtId="1" fontId="19" fillId="0" borderId="14" xfId="0" applyNumberFormat="1" applyFont="1" applyBorder="1" applyAlignment="1">
      <alignment vertical="center"/>
    </xf>
    <xf numFmtId="165" fontId="15" fillId="0" borderId="0" xfId="0" applyNumberFormat="1" applyFont="1" applyFill="1" applyBorder="1" applyAlignment="1">
      <alignment horizontal="left"/>
    </xf>
    <xf numFmtId="2" fontId="15" fillId="0" borderId="0" xfId="0" applyNumberFormat="1" applyFont="1" applyFill="1" applyBorder="1" applyAlignment="1">
      <alignment horizontal="left"/>
    </xf>
    <xf numFmtId="164" fontId="15" fillId="0" borderId="0" xfId="2" applyFont="1" applyFill="1" applyBorder="1" applyAlignment="1">
      <alignment horizontal="left" vertical="center"/>
    </xf>
    <xf numFmtId="170" fontId="18" fillId="0" borderId="14" xfId="0" applyNumberFormat="1" applyFont="1" applyFill="1" applyBorder="1" applyAlignment="1">
      <alignment horizontal="center" vertical="center"/>
    </xf>
    <xf numFmtId="1" fontId="32" fillId="0" borderId="0" xfId="0" applyNumberFormat="1" applyFont="1" applyFill="1" applyBorder="1" applyAlignment="1">
      <alignment horizontal="center"/>
    </xf>
    <xf numFmtId="2" fontId="32" fillId="0" borderId="0" xfId="0" applyNumberFormat="1" applyFont="1" applyFill="1" applyBorder="1" applyAlignment="1">
      <alignment horizontal="center"/>
    </xf>
    <xf numFmtId="164" fontId="32" fillId="0" borderId="0" xfId="2" applyFont="1" applyFill="1" applyBorder="1" applyAlignment="1">
      <alignment vertical="center"/>
    </xf>
    <xf numFmtId="0" fontId="32" fillId="0" borderId="24" xfId="0" applyFont="1" applyFill="1" applyBorder="1" applyAlignment="1">
      <alignment vertical="center"/>
    </xf>
    <xf numFmtId="0" fontId="15" fillId="0" borderId="33" xfId="6" applyFont="1" applyFill="1" applyBorder="1" applyAlignment="1">
      <alignment horizontal="left" vertical="center" wrapText="1"/>
    </xf>
    <xf numFmtId="0" fontId="15" fillId="0" borderId="33" xfId="0" applyFont="1" applyFill="1" applyBorder="1" applyAlignment="1" applyProtection="1">
      <alignment horizontal="center" vertical="center" wrapText="1"/>
    </xf>
    <xf numFmtId="0" fontId="15" fillId="0" borderId="32" xfId="6" applyFont="1" applyFill="1" applyBorder="1" applyAlignment="1">
      <alignment horizontal="left" vertical="center" wrapText="1"/>
    </xf>
    <xf numFmtId="0" fontId="15" fillId="0" borderId="32" xfId="0" applyFont="1" applyFill="1" applyBorder="1" applyAlignment="1" applyProtection="1">
      <alignment horizontal="center" vertical="center" wrapText="1"/>
    </xf>
    <xf numFmtId="0" fontId="15" fillId="0" borderId="33" xfId="30" applyFont="1" applyFill="1" applyBorder="1" applyAlignment="1">
      <alignment horizontal="left" vertical="top" wrapText="1"/>
    </xf>
    <xf numFmtId="43" fontId="15" fillId="0" borderId="71" xfId="31" applyNumberFormat="1" applyFont="1" applyFill="1" applyBorder="1" applyAlignment="1">
      <alignment horizontal="center" vertical="top" wrapText="1"/>
    </xf>
    <xf numFmtId="0" fontId="15" fillId="0" borderId="32" xfId="0" applyFont="1" applyFill="1" applyBorder="1" applyAlignment="1">
      <alignment vertical="center" wrapText="1"/>
    </xf>
    <xf numFmtId="0" fontId="15" fillId="0" borderId="32" xfId="0" applyFont="1" applyFill="1" applyBorder="1" applyAlignment="1">
      <alignment horizontal="center" vertical="center" wrapText="1"/>
    </xf>
    <xf numFmtId="43" fontId="15" fillId="0" borderId="41" xfId="31" applyNumberFormat="1" applyFont="1" applyFill="1" applyBorder="1" applyAlignment="1">
      <alignment vertical="center" wrapText="1"/>
    </xf>
    <xf numFmtId="0" fontId="15" fillId="0" borderId="33" xfId="0" applyFont="1" applyFill="1" applyBorder="1" applyAlignment="1">
      <alignment horizontal="left" vertical="center" wrapText="1"/>
    </xf>
    <xf numFmtId="165" fontId="15" fillId="0" borderId="33" xfId="0" applyNumberFormat="1" applyFont="1" applyFill="1" applyBorder="1" applyAlignment="1">
      <alignment horizontal="center" vertical="center"/>
    </xf>
    <xf numFmtId="0" fontId="15" fillId="0" borderId="33" xfId="0" applyFont="1" applyFill="1" applyBorder="1" applyAlignment="1">
      <alignment horizontal="center" vertical="center" wrapText="1"/>
    </xf>
    <xf numFmtId="164" fontId="15" fillId="0" borderId="33" xfId="2" applyFont="1" applyFill="1" applyBorder="1" applyAlignment="1">
      <alignment horizontal="left" vertical="center" wrapText="1"/>
    </xf>
    <xf numFmtId="43" fontId="15" fillId="0" borderId="71" xfId="31" applyNumberFormat="1" applyFont="1" applyFill="1" applyBorder="1" applyAlignment="1">
      <alignment vertical="center" wrapText="1"/>
    </xf>
    <xf numFmtId="0" fontId="15" fillId="0" borderId="32" xfId="0" applyFont="1" applyFill="1" applyBorder="1" applyAlignment="1">
      <alignment horizontal="center" vertical="center"/>
    </xf>
    <xf numFmtId="164" fontId="15" fillId="0" borderId="32" xfId="2" applyFont="1" applyFill="1" applyBorder="1" applyAlignment="1">
      <alignment vertical="center"/>
    </xf>
    <xf numFmtId="1" fontId="25" fillId="0" borderId="14" xfId="6" applyNumberFormat="1" applyFont="1" applyFill="1" applyBorder="1" applyAlignment="1">
      <alignment horizontal="center" vertical="center"/>
    </xf>
    <xf numFmtId="43" fontId="25" fillId="0" borderId="24" xfId="31" applyNumberFormat="1" applyFont="1" applyFill="1" applyBorder="1" applyAlignment="1">
      <alignment horizontal="center" vertical="center" wrapText="1"/>
    </xf>
    <xf numFmtId="0" fontId="15" fillId="0" borderId="24" xfId="0" applyFont="1" applyFill="1" applyBorder="1" applyAlignment="1">
      <alignment horizontal="right" vertical="center"/>
    </xf>
    <xf numFmtId="1" fontId="15" fillId="0" borderId="78" xfId="6" applyNumberFormat="1" applyFont="1" applyFill="1" applyBorder="1" applyAlignment="1">
      <alignment horizontal="center" vertical="center"/>
    </xf>
    <xf numFmtId="0" fontId="16" fillId="0" borderId="79" xfId="6" applyFont="1" applyFill="1" applyBorder="1" applyAlignment="1">
      <alignment horizontal="left" vertical="center" wrapText="1"/>
    </xf>
    <xf numFmtId="0" fontId="15" fillId="0" borderId="79" xfId="0" applyFont="1" applyFill="1" applyBorder="1" applyAlignment="1">
      <alignment horizontal="center"/>
    </xf>
    <xf numFmtId="2" fontId="15" fillId="0" borderId="79" xfId="0" applyNumberFormat="1" applyFont="1" applyFill="1" applyBorder="1" applyAlignment="1">
      <alignment horizontal="center"/>
    </xf>
    <xf numFmtId="0" fontId="15" fillId="0" borderId="71" xfId="0" applyFont="1" applyFill="1" applyBorder="1" applyAlignment="1">
      <alignment horizontal="right" vertical="center"/>
    </xf>
    <xf numFmtId="0" fontId="16" fillId="0" borderId="76" xfId="0" applyFont="1" applyFill="1" applyBorder="1"/>
    <xf numFmtId="0" fontId="15" fillId="0" borderId="76" xfId="0" applyFont="1" applyFill="1" applyBorder="1" applyAlignment="1">
      <alignment horizontal="center"/>
    </xf>
    <xf numFmtId="2" fontId="15" fillId="0" borderId="76" xfId="0" applyNumberFormat="1" applyFont="1" applyFill="1" applyBorder="1" applyAlignment="1">
      <alignment horizontal="center"/>
    </xf>
    <xf numFmtId="164" fontId="15" fillId="0" borderId="76" xfId="2" applyFont="1" applyFill="1" applyBorder="1"/>
    <xf numFmtId="0" fontId="15" fillId="0" borderId="41" xfId="0" applyFont="1" applyFill="1" applyBorder="1" applyAlignment="1">
      <alignment horizontal="right" vertical="center"/>
    </xf>
    <xf numFmtId="0" fontId="16" fillId="0" borderId="24" xfId="0" applyFont="1" applyFill="1" applyBorder="1" applyAlignment="1">
      <alignment vertical="center" wrapText="1"/>
    </xf>
    <xf numFmtId="164" fontId="15" fillId="0" borderId="24" xfId="2" applyFont="1" applyFill="1" applyBorder="1" applyAlignment="1">
      <alignment horizontal="right" vertical="center"/>
    </xf>
    <xf numFmtId="0" fontId="16" fillId="0" borderId="24" xfId="0" applyFont="1" applyFill="1" applyBorder="1" applyAlignment="1">
      <alignment vertical="top" wrapText="1"/>
    </xf>
    <xf numFmtId="0" fontId="15" fillId="0" borderId="24" xfId="0" applyFont="1" applyFill="1" applyBorder="1" applyAlignment="1">
      <alignment vertical="center" wrapText="1"/>
    </xf>
    <xf numFmtId="0" fontId="15" fillId="0" borderId="24" xfId="0" applyFont="1" applyFill="1" applyBorder="1" applyAlignment="1">
      <alignment vertical="center"/>
    </xf>
    <xf numFmtId="0" fontId="25" fillId="0" borderId="13" xfId="30" applyFont="1" applyFill="1" applyBorder="1" applyAlignment="1">
      <alignment horizontal="center" vertical="center" wrapText="1"/>
    </xf>
    <xf numFmtId="0" fontId="26" fillId="0" borderId="13" xfId="0" applyFont="1" applyFill="1" applyBorder="1" applyAlignment="1" applyProtection="1">
      <alignment horizontal="left" vertical="center" wrapText="1"/>
    </xf>
    <xf numFmtId="165" fontId="15" fillId="0" borderId="0" xfId="2" applyNumberFormat="1" applyFont="1" applyFill="1" applyBorder="1" applyAlignment="1" applyProtection="1">
      <alignment horizontal="center" vertical="center"/>
    </xf>
    <xf numFmtId="0" fontId="25" fillId="0" borderId="13" xfId="18" applyFont="1" applyFill="1" applyBorder="1" applyAlignment="1" applyProtection="1">
      <alignment horizontal="center" vertical="center"/>
    </xf>
    <xf numFmtId="1" fontId="19" fillId="0" borderId="77" xfId="0" applyNumberFormat="1" applyFont="1" applyFill="1" applyBorder="1" applyAlignment="1">
      <alignment vertical="center"/>
    </xf>
    <xf numFmtId="1" fontId="19" fillId="0" borderId="76" xfId="0" applyNumberFormat="1" applyFont="1" applyFill="1" applyBorder="1" applyAlignment="1">
      <alignment vertical="center"/>
    </xf>
    <xf numFmtId="0" fontId="15" fillId="0" borderId="76" xfId="0" applyFont="1" applyFill="1" applyBorder="1" applyAlignment="1">
      <alignment horizontal="left" vertical="center"/>
    </xf>
    <xf numFmtId="0" fontId="60" fillId="0" borderId="41" xfId="0" applyFont="1" applyFill="1" applyBorder="1" applyAlignment="1">
      <alignment horizontal="left"/>
    </xf>
    <xf numFmtId="1" fontId="19" fillId="0" borderId="0" xfId="0" applyNumberFormat="1" applyFont="1" applyFill="1" applyBorder="1" applyAlignment="1">
      <alignment vertical="center"/>
    </xf>
    <xf numFmtId="2" fontId="15" fillId="0" borderId="0" xfId="0" applyNumberFormat="1" applyFont="1" applyFill="1" applyBorder="1" applyAlignment="1"/>
    <xf numFmtId="0" fontId="60" fillId="0" borderId="24" xfId="0" applyFont="1" applyFill="1" applyBorder="1" applyAlignment="1">
      <alignment horizontal="left"/>
    </xf>
    <xf numFmtId="170" fontId="61" fillId="0" borderId="14" xfId="0" applyNumberFormat="1" applyFont="1" applyFill="1" applyBorder="1" applyAlignment="1">
      <alignment vertical="center"/>
    </xf>
    <xf numFmtId="0" fontId="16" fillId="0" borderId="33" xfId="32" applyFont="1" applyFill="1" applyBorder="1" applyAlignment="1">
      <alignment horizontal="left" vertical="center" wrapText="1"/>
    </xf>
    <xf numFmtId="0" fontId="16" fillId="0" borderId="32" xfId="32" applyFont="1" applyFill="1" applyBorder="1" applyAlignment="1">
      <alignment horizontal="center" vertical="center" wrapText="1"/>
    </xf>
    <xf numFmtId="0" fontId="16" fillId="0" borderId="32" xfId="32" applyFont="1" applyFill="1" applyBorder="1" applyAlignment="1">
      <alignment horizontal="left" vertical="center" wrapText="1"/>
    </xf>
    <xf numFmtId="165" fontId="16" fillId="0" borderId="76" xfId="2" applyNumberFormat="1" applyFont="1" applyFill="1" applyBorder="1" applyAlignment="1">
      <alignment horizontal="center" vertical="center" wrapText="1"/>
    </xf>
    <xf numFmtId="164" fontId="16" fillId="0" borderId="76" xfId="33" applyFont="1" applyFill="1" applyBorder="1" applyAlignment="1">
      <alignment horizontal="center" vertical="center" wrapText="1"/>
    </xf>
    <xf numFmtId="4" fontId="16" fillId="0" borderId="32" xfId="2" applyNumberFormat="1" applyFont="1" applyFill="1" applyBorder="1" applyAlignment="1">
      <alignment horizontal="center" vertical="center" wrapText="1"/>
    </xf>
    <xf numFmtId="0" fontId="25" fillId="0" borderId="33" xfId="6" applyFont="1" applyFill="1" applyBorder="1" applyAlignment="1">
      <alignment horizontal="left" vertical="top" wrapText="1"/>
    </xf>
    <xf numFmtId="0" fontId="25" fillId="0" borderId="33" xfId="0" applyFont="1" applyFill="1" applyBorder="1" applyAlignment="1" applyProtection="1">
      <alignment horizontal="center" vertical="center" wrapText="1"/>
    </xf>
    <xf numFmtId="4" fontId="25" fillId="0" borderId="33" xfId="0" applyNumberFormat="1" applyFont="1" applyFill="1" applyBorder="1" applyAlignment="1">
      <alignment horizontal="center" vertical="center" wrapText="1"/>
    </xf>
    <xf numFmtId="0" fontId="15" fillId="0" borderId="32" xfId="30" applyFont="1" applyFill="1" applyBorder="1" applyAlignment="1">
      <alignment horizontal="left" vertical="top" wrapText="1"/>
    </xf>
    <xf numFmtId="43" fontId="15" fillId="0" borderId="32" xfId="31" applyNumberFormat="1" applyFont="1" applyFill="1" applyBorder="1" applyAlignment="1">
      <alignment vertical="center" wrapText="1"/>
    </xf>
    <xf numFmtId="1" fontId="15" fillId="0" borderId="14" xfId="32" applyNumberFormat="1" applyFont="1" applyFill="1" applyBorder="1" applyAlignment="1">
      <alignment horizontal="center" vertical="center" wrapText="1"/>
    </xf>
    <xf numFmtId="4" fontId="15" fillId="0" borderId="24" xfId="2" applyNumberFormat="1" applyFont="1" applyFill="1" applyBorder="1" applyAlignment="1">
      <alignment horizontal="right" vertical="top" wrapText="1"/>
    </xf>
    <xf numFmtId="1" fontId="15" fillId="0" borderId="14" xfId="0" applyNumberFormat="1" applyFont="1" applyFill="1" applyBorder="1" applyAlignment="1">
      <alignment horizontal="center"/>
    </xf>
    <xf numFmtId="164" fontId="60" fillId="0" borderId="24" xfId="2" applyFont="1" applyFill="1" applyBorder="1" applyAlignment="1">
      <alignment horizontal="right"/>
    </xf>
    <xf numFmtId="0" fontId="60" fillId="0" borderId="24" xfId="0" applyFont="1" applyFill="1" applyBorder="1" applyAlignment="1">
      <alignment horizontal="right"/>
    </xf>
    <xf numFmtId="1" fontId="15" fillId="0" borderId="78" xfId="0" applyNumberFormat="1" applyFont="1" applyFill="1" applyBorder="1" applyAlignment="1">
      <alignment horizontal="center"/>
    </xf>
    <xf numFmtId="165" fontId="15" fillId="0" borderId="79" xfId="0" applyNumberFormat="1" applyFont="1" applyFill="1" applyBorder="1" applyAlignment="1">
      <alignment horizontal="center"/>
    </xf>
    <xf numFmtId="0" fontId="60" fillId="0" borderId="71" xfId="0" applyFont="1" applyFill="1" applyBorder="1" applyAlignment="1">
      <alignment horizontal="right"/>
    </xf>
    <xf numFmtId="1" fontId="15" fillId="0" borderId="77" xfId="0" applyNumberFormat="1" applyFont="1" applyFill="1" applyBorder="1" applyAlignment="1">
      <alignment horizontal="center"/>
    </xf>
    <xf numFmtId="165" fontId="15" fillId="0" borderId="76" xfId="0" applyNumberFormat="1" applyFont="1" applyFill="1" applyBorder="1" applyAlignment="1">
      <alignment horizontal="center"/>
    </xf>
    <xf numFmtId="0" fontId="60" fillId="0" borderId="41" xfId="0" applyFont="1" applyFill="1" applyBorder="1" applyAlignment="1">
      <alignment horizontal="right"/>
    </xf>
    <xf numFmtId="0" fontId="60" fillId="0" borderId="24" xfId="0" applyFont="1" applyFill="1" applyBorder="1"/>
    <xf numFmtId="164" fontId="15" fillId="3" borderId="13" xfId="2" applyFont="1" applyFill="1" applyBorder="1" applyAlignment="1">
      <alignment horizontal="center" vertical="center" wrapText="1"/>
    </xf>
    <xf numFmtId="164" fontId="25" fillId="3" borderId="32" xfId="2" applyFont="1" applyFill="1" applyBorder="1" applyAlignment="1">
      <alignment horizontal="center" vertical="center" wrapText="1"/>
    </xf>
    <xf numFmtId="4" fontId="15" fillId="3" borderId="13" xfId="0" applyNumberFormat="1" applyFont="1" applyFill="1" applyBorder="1" applyAlignment="1">
      <alignment horizontal="right" vertical="center" wrapText="1"/>
    </xf>
    <xf numFmtId="4" fontId="15" fillId="0" borderId="36" xfId="0" applyNumberFormat="1" applyFont="1" applyBorder="1" applyAlignment="1">
      <alignment horizontal="center" vertical="center"/>
    </xf>
    <xf numFmtId="4" fontId="15" fillId="0" borderId="69" xfId="0" applyNumberFormat="1" applyFont="1" applyFill="1" applyBorder="1" applyAlignment="1">
      <alignment horizontal="right" vertical="top"/>
    </xf>
    <xf numFmtId="4" fontId="15" fillId="0" borderId="11" xfId="0" applyNumberFormat="1" applyFont="1" applyBorder="1" applyAlignment="1">
      <alignment horizontal="center" vertical="center"/>
    </xf>
    <xf numFmtId="4" fontId="15" fillId="0" borderId="15" xfId="0" applyNumberFormat="1" applyFont="1" applyFill="1" applyBorder="1" applyAlignment="1">
      <alignment horizontal="right" vertical="top"/>
    </xf>
    <xf numFmtId="4" fontId="15" fillId="0" borderId="11" xfId="0" applyNumberFormat="1" applyFont="1" applyBorder="1" applyAlignment="1">
      <alignment horizontal="center" vertical="top"/>
    </xf>
    <xf numFmtId="4" fontId="15" fillId="3" borderId="11" xfId="0" applyNumberFormat="1" applyFont="1" applyFill="1" applyBorder="1" applyAlignment="1">
      <alignment horizontal="center" vertical="top"/>
    </xf>
    <xf numFmtId="4" fontId="15" fillId="3" borderId="15" xfId="0" applyNumberFormat="1" applyFont="1" applyFill="1" applyBorder="1" applyAlignment="1">
      <alignment horizontal="right" vertical="top"/>
    </xf>
    <xf numFmtId="4" fontId="15" fillId="0" borderId="27" xfId="0" applyNumberFormat="1" applyFont="1" applyBorder="1" applyAlignment="1">
      <alignment horizontal="center" vertical="top"/>
    </xf>
    <xf numFmtId="4" fontId="15" fillId="0" borderId="31" xfId="0" applyNumberFormat="1" applyFont="1" applyFill="1" applyBorder="1" applyAlignment="1">
      <alignment horizontal="right" vertical="top"/>
    </xf>
    <xf numFmtId="4" fontId="15" fillId="0" borderId="36" xfId="0" applyNumberFormat="1" applyFont="1" applyBorder="1" applyAlignment="1">
      <alignment horizontal="center" vertical="top"/>
    </xf>
    <xf numFmtId="4" fontId="15" fillId="3" borderId="31" xfId="0" applyNumberFormat="1" applyFont="1" applyFill="1" applyBorder="1" applyAlignment="1">
      <alignment horizontal="right" vertical="top"/>
    </xf>
    <xf numFmtId="4" fontId="16" fillId="0" borderId="8" xfId="0" applyNumberFormat="1" applyFont="1" applyFill="1" applyBorder="1" applyAlignment="1">
      <alignment horizontal="left" vertical="center" wrapText="1"/>
    </xf>
    <xf numFmtId="2" fontId="15" fillId="0" borderId="8" xfId="0" applyNumberFormat="1" applyFont="1" applyFill="1" applyBorder="1" applyAlignment="1">
      <alignment horizontal="center" vertical="center"/>
    </xf>
    <xf numFmtId="0" fontId="15" fillId="0" borderId="9" xfId="0" applyFont="1" applyFill="1" applyBorder="1" applyAlignment="1">
      <alignment horizontal="center" vertical="center"/>
    </xf>
    <xf numFmtId="164" fontId="15" fillId="0" borderId="10" xfId="2" applyFont="1" applyFill="1" applyBorder="1" applyAlignment="1">
      <alignment horizontal="center" vertical="center"/>
    </xf>
    <xf numFmtId="4" fontId="15" fillId="0" borderId="84" xfId="0" applyNumberFormat="1" applyFont="1" applyBorder="1" applyAlignment="1">
      <alignment horizontal="center" vertical="center"/>
    </xf>
    <xf numFmtId="4" fontId="15" fillId="0" borderId="85" xfId="0" applyNumberFormat="1" applyFont="1" applyFill="1" applyBorder="1" applyAlignment="1">
      <alignment horizontal="center" vertical="center"/>
    </xf>
    <xf numFmtId="4" fontId="15" fillId="0" borderId="86" xfId="0" applyNumberFormat="1" applyFont="1" applyBorder="1" applyAlignment="1">
      <alignment horizontal="center" vertical="center"/>
    </xf>
    <xf numFmtId="4" fontId="15" fillId="0" borderId="87" xfId="0" applyNumberFormat="1" applyFont="1" applyFill="1" applyBorder="1" applyAlignment="1">
      <alignment horizontal="center" vertical="center"/>
    </xf>
    <xf numFmtId="4" fontId="15" fillId="0" borderId="27" xfId="0" applyNumberFormat="1" applyFont="1" applyBorder="1" applyAlignment="1">
      <alignment horizontal="center" vertical="center"/>
    </xf>
    <xf numFmtId="4" fontId="32" fillId="0" borderId="29" xfId="0" applyNumberFormat="1" applyFont="1" applyFill="1" applyBorder="1" applyAlignment="1">
      <alignment horizontal="center" vertical="center" wrapText="1"/>
    </xf>
    <xf numFmtId="4" fontId="15" fillId="0" borderId="31" xfId="0" applyNumberFormat="1" applyFont="1" applyFill="1" applyBorder="1" applyAlignment="1">
      <alignment horizontal="center" vertical="center"/>
    </xf>
    <xf numFmtId="4" fontId="15" fillId="3" borderId="15" xfId="0" applyNumberFormat="1" applyFont="1" applyFill="1" applyBorder="1" applyAlignment="1">
      <alignment horizontal="center" vertical="center"/>
    </xf>
    <xf numFmtId="4" fontId="15" fillId="3" borderId="11" xfId="0" applyNumberFormat="1" applyFont="1" applyFill="1" applyBorder="1" applyAlignment="1">
      <alignment horizontal="center" vertical="center"/>
    </xf>
    <xf numFmtId="4" fontId="15" fillId="0" borderId="83" xfId="0" applyNumberFormat="1" applyFont="1" applyBorder="1" applyAlignment="1">
      <alignment horizontal="center" vertical="center"/>
    </xf>
    <xf numFmtId="4" fontId="15" fillId="0" borderId="11" xfId="0" applyNumberFormat="1" applyFont="1" applyFill="1" applyBorder="1" applyAlignment="1">
      <alignment horizontal="center" vertical="top"/>
    </xf>
    <xf numFmtId="0" fontId="16" fillId="0" borderId="8" xfId="0" applyFont="1" applyFill="1" applyBorder="1" applyAlignment="1">
      <alignment horizontal="center"/>
    </xf>
    <xf numFmtId="4" fontId="16" fillId="0" borderId="11" xfId="0" applyNumberFormat="1" applyFont="1" applyBorder="1" applyAlignment="1">
      <alignment horizontal="center" vertical="center"/>
    </xf>
    <xf numFmtId="4" fontId="16" fillId="0" borderId="8" xfId="0" applyNumberFormat="1" applyFont="1" applyFill="1" applyBorder="1" applyAlignment="1">
      <alignment vertical="center" wrapText="1"/>
    </xf>
    <xf numFmtId="43" fontId="51" fillId="0" borderId="0" xfId="12" applyNumberFormat="1" applyFont="1" applyBorder="1"/>
    <xf numFmtId="164" fontId="51" fillId="0" borderId="0" xfId="12" applyNumberFormat="1" applyFont="1" applyBorder="1"/>
    <xf numFmtId="164" fontId="13" fillId="3" borderId="24" xfId="2" applyFont="1" applyFill="1" applyBorder="1" applyAlignment="1">
      <alignment vertical="center"/>
    </xf>
    <xf numFmtId="0" fontId="13" fillId="3" borderId="13" xfId="18" applyFont="1" applyFill="1" applyBorder="1" applyAlignment="1" applyProtection="1">
      <alignment horizontal="left" vertical="center" wrapText="1"/>
    </xf>
    <xf numFmtId="4" fontId="51" fillId="0" borderId="12" xfId="12" applyNumberFormat="1" applyFont="1" applyBorder="1"/>
    <xf numFmtId="164" fontId="51" fillId="0" borderId="12" xfId="1" applyFont="1" applyBorder="1"/>
    <xf numFmtId="164" fontId="51" fillId="0" borderId="12" xfId="2" applyNumberFormat="1" applyFont="1" applyBorder="1" applyAlignment="1">
      <alignment vertical="top"/>
    </xf>
    <xf numFmtId="164" fontId="51" fillId="0" borderId="12" xfId="1" applyFont="1" applyBorder="1" applyAlignment="1">
      <alignment vertical="top" wrapText="1"/>
    </xf>
    <xf numFmtId="0" fontId="51" fillId="0" borderId="0" xfId="12" applyFont="1" applyBorder="1" applyAlignment="1">
      <alignment vertical="top"/>
    </xf>
    <xf numFmtId="0" fontId="51" fillId="0" borderId="0" xfId="12" applyFont="1" applyAlignment="1">
      <alignment vertical="top"/>
    </xf>
    <xf numFmtId="0" fontId="51" fillId="0" borderId="12" xfId="12" applyFont="1" applyBorder="1" applyAlignment="1">
      <alignment vertical="center"/>
    </xf>
    <xf numFmtId="4" fontId="51" fillId="0" borderId="12" xfId="12" applyNumberFormat="1" applyFont="1" applyBorder="1" applyAlignment="1">
      <alignment vertical="top" wrapText="1"/>
    </xf>
    <xf numFmtId="43" fontId="51" fillId="0" borderId="0" xfId="12" applyNumberFormat="1" applyFont="1" applyAlignment="1">
      <alignment vertical="top"/>
    </xf>
    <xf numFmtId="164" fontId="51" fillId="0" borderId="8" xfId="1" applyFont="1" applyBorder="1"/>
    <xf numFmtId="164" fontId="51" fillId="0" borderId="13" xfId="1" applyFont="1" applyBorder="1"/>
    <xf numFmtId="164" fontId="53" fillId="2" borderId="42" xfId="1" applyFont="1" applyFill="1" applyBorder="1"/>
    <xf numFmtId="164" fontId="53" fillId="2" borderId="14" xfId="1" applyFont="1" applyFill="1" applyBorder="1"/>
    <xf numFmtId="164" fontId="51" fillId="0" borderId="10" xfId="1" applyFont="1" applyBorder="1"/>
    <xf numFmtId="164" fontId="51" fillId="0" borderId="33" xfId="1" applyFont="1" applyBorder="1"/>
    <xf numFmtId="164" fontId="53" fillId="2" borderId="13" xfId="1" applyFont="1" applyFill="1" applyBorder="1"/>
    <xf numFmtId="164" fontId="51" fillId="0" borderId="12" xfId="1" applyFont="1" applyBorder="1" applyAlignment="1">
      <alignment vertical="center"/>
    </xf>
    <xf numFmtId="164" fontId="51" fillId="0" borderId="32" xfId="1" applyFont="1" applyBorder="1" applyAlignment="1">
      <alignment vertical="center"/>
    </xf>
    <xf numFmtId="164" fontId="53" fillId="2" borderId="42" xfId="1" applyFont="1" applyFill="1" applyBorder="1" applyAlignment="1">
      <alignment vertical="center"/>
    </xf>
    <xf numFmtId="164" fontId="53" fillId="2" borderId="32" xfId="1" applyFont="1" applyFill="1" applyBorder="1" applyAlignment="1">
      <alignment vertical="center"/>
    </xf>
    <xf numFmtId="164" fontId="51" fillId="0" borderId="32" xfId="1" applyFont="1" applyBorder="1"/>
    <xf numFmtId="164" fontId="53" fillId="2" borderId="32" xfId="1" applyFont="1" applyFill="1" applyBorder="1"/>
    <xf numFmtId="164" fontId="51" fillId="0" borderId="0" xfId="1" applyFont="1"/>
    <xf numFmtId="164" fontId="51" fillId="0" borderId="12" xfId="2" applyNumberFormat="1" applyFont="1" applyBorder="1" applyAlignment="1">
      <alignment vertical="center"/>
    </xf>
    <xf numFmtId="4" fontId="51" fillId="0" borderId="12" xfId="12" applyNumberFormat="1" applyFont="1" applyBorder="1" applyAlignment="1">
      <alignment vertical="center" wrapText="1"/>
    </xf>
    <xf numFmtId="0" fontId="51" fillId="0" borderId="0" xfId="12" applyFont="1" applyBorder="1" applyAlignment="1">
      <alignment vertical="center"/>
    </xf>
    <xf numFmtId="43" fontId="51" fillId="0" borderId="0" xfId="12" applyNumberFormat="1" applyFont="1" applyAlignment="1">
      <alignment vertical="center"/>
    </xf>
    <xf numFmtId="0" fontId="51" fillId="0" borderId="0" xfId="12" applyFont="1" applyAlignment="1">
      <alignment vertical="center"/>
    </xf>
    <xf numFmtId="4" fontId="15" fillId="0" borderId="15" xfId="0" applyNumberFormat="1" applyFont="1" applyFill="1" applyBorder="1" applyAlignment="1">
      <alignment horizontal="center" vertical="center"/>
    </xf>
    <xf numFmtId="164" fontId="51" fillId="4" borderId="12" xfId="2" applyNumberFormat="1" applyFont="1" applyFill="1" applyBorder="1"/>
    <xf numFmtId="0" fontId="51" fillId="4" borderId="12" xfId="12" applyFont="1" applyFill="1" applyBorder="1"/>
    <xf numFmtId="164" fontId="51" fillId="4" borderId="12" xfId="1" applyFont="1" applyFill="1" applyBorder="1"/>
    <xf numFmtId="164" fontId="51" fillId="4" borderId="32" xfId="1" applyFont="1" applyFill="1" applyBorder="1"/>
    <xf numFmtId="164" fontId="53" fillId="4" borderId="42" xfId="1" applyFont="1" applyFill="1" applyBorder="1"/>
    <xf numFmtId="164" fontId="53" fillId="4" borderId="32" xfId="1" applyFont="1" applyFill="1" applyBorder="1"/>
    <xf numFmtId="0" fontId="51" fillId="4" borderId="0" xfId="12" applyFont="1" applyFill="1" applyBorder="1"/>
    <xf numFmtId="43" fontId="51" fillId="4" borderId="0" xfId="12" applyNumberFormat="1" applyFont="1" applyFill="1"/>
    <xf numFmtId="0" fontId="51" fillId="4" borderId="0" xfId="12" applyFont="1" applyFill="1"/>
    <xf numFmtId="164" fontId="65" fillId="0" borderId="12" xfId="1" applyFont="1" applyBorder="1"/>
    <xf numFmtId="164" fontId="65" fillId="0" borderId="12" xfId="1" applyFont="1" applyBorder="1" applyAlignment="1">
      <alignment vertical="center"/>
    </xf>
    <xf numFmtId="4" fontId="32" fillId="0" borderId="29" xfId="0" applyNumberFormat="1" applyFont="1" applyFill="1" applyBorder="1" applyAlignment="1">
      <alignment horizontal="justify" vertical="center" wrapText="1"/>
    </xf>
    <xf numFmtId="4" fontId="18" fillId="3" borderId="13" xfId="0" applyNumberFormat="1" applyFont="1" applyFill="1" applyBorder="1" applyAlignment="1">
      <alignment horizontal="justify" vertical="center" wrapText="1"/>
    </xf>
    <xf numFmtId="4" fontId="15" fillId="0" borderId="15" xfId="0" applyNumberFormat="1" applyFont="1" applyFill="1" applyBorder="1" applyAlignment="1">
      <alignment horizontal="right" vertical="center"/>
    </xf>
    <xf numFmtId="4" fontId="18" fillId="0" borderId="29" xfId="0" applyNumberFormat="1" applyFont="1" applyFill="1" applyBorder="1" applyAlignment="1">
      <alignment horizontal="justify" vertical="center" wrapText="1"/>
    </xf>
    <xf numFmtId="0" fontId="12" fillId="0" borderId="0" xfId="0" applyFont="1"/>
    <xf numFmtId="164" fontId="51" fillId="0" borderId="0" xfId="12" applyNumberFormat="1" applyFont="1" applyBorder="1" applyAlignment="1">
      <alignment vertical="top"/>
    </xf>
    <xf numFmtId="0" fontId="66" fillId="0" borderId="92" xfId="37" applyFont="1" applyBorder="1"/>
    <xf numFmtId="0" fontId="66" fillId="0" borderId="93" xfId="37" applyFont="1" applyBorder="1"/>
    <xf numFmtId="0" fontId="66" fillId="0" borderId="93" xfId="37" applyFont="1" applyBorder="1" applyAlignment="1">
      <alignment horizontal="center" vertical="center"/>
    </xf>
    <xf numFmtId="0" fontId="66" fillId="0" borderId="94" xfId="37" applyFont="1" applyBorder="1" applyAlignment="1">
      <alignment horizontal="center" vertical="center"/>
    </xf>
    <xf numFmtId="0" fontId="66" fillId="0" borderId="95" xfId="37" applyFont="1" applyBorder="1"/>
    <xf numFmtId="172" fontId="66" fillId="0" borderId="96" xfId="37" applyNumberFormat="1" applyFont="1" applyBorder="1"/>
    <xf numFmtId="0" fontId="66" fillId="0" borderId="0" xfId="37" applyFont="1"/>
    <xf numFmtId="0" fontId="66" fillId="0" borderId="0" xfId="37" applyFont="1" applyAlignment="1">
      <alignment horizontal="center"/>
    </xf>
    <xf numFmtId="0" fontId="2" fillId="0" borderId="0" xfId="37"/>
    <xf numFmtId="0" fontId="66" fillId="0" borderId="0" xfId="37" applyFont="1" applyAlignment="1">
      <alignment horizontal="center" vertical="center"/>
    </xf>
    <xf numFmtId="0" fontId="66" fillId="0" borderId="97" xfId="37" applyFont="1" applyBorder="1" applyAlignment="1">
      <alignment horizontal="center" vertical="center"/>
    </xf>
    <xf numFmtId="0" fontId="66" fillId="0" borderId="98" xfId="37" applyFont="1" applyBorder="1"/>
    <xf numFmtId="0" fontId="66" fillId="0" borderId="99" xfId="37" applyFont="1" applyBorder="1"/>
    <xf numFmtId="0" fontId="66" fillId="0" borderId="99" xfId="37" applyFont="1" applyBorder="1" applyAlignment="1">
      <alignment horizontal="center" vertical="center"/>
    </xf>
    <xf numFmtId="0" fontId="66" fillId="0" borderId="100" xfId="37" applyFont="1" applyBorder="1" applyAlignment="1">
      <alignment horizontal="center" vertical="center"/>
    </xf>
    <xf numFmtId="0" fontId="69" fillId="0" borderId="101" xfId="37" applyFont="1" applyBorder="1" applyAlignment="1">
      <alignment horizontal="center" vertical="center"/>
    </xf>
    <xf numFmtId="0" fontId="69" fillId="0" borderId="101" xfId="37" applyFont="1" applyBorder="1" applyAlignment="1">
      <alignment horizontal="center" vertical="center" wrapText="1"/>
    </xf>
    <xf numFmtId="0" fontId="66" fillId="0" borderId="102" xfId="37" applyFont="1" applyBorder="1"/>
    <xf numFmtId="0" fontId="66" fillId="0" borderId="102" xfId="37" applyFont="1" applyBorder="1" applyAlignment="1">
      <alignment horizontal="center" vertical="center"/>
    </xf>
    <xf numFmtId="172" fontId="66" fillId="0" borderId="102" xfId="37" applyNumberFormat="1" applyFont="1" applyBorder="1" applyAlignment="1">
      <alignment horizontal="center" vertical="center"/>
    </xf>
    <xf numFmtId="0" fontId="66" fillId="0" borderId="96" xfId="37" applyFont="1" applyBorder="1"/>
    <xf numFmtId="0" fontId="66" fillId="0" borderId="103" xfId="37" applyFont="1" applyBorder="1"/>
    <xf numFmtId="0" fontId="69" fillId="5" borderId="103" xfId="37" applyFont="1" applyFill="1" applyBorder="1" applyAlignment="1">
      <alignment horizontal="center"/>
    </xf>
    <xf numFmtId="0" fontId="66" fillId="0" borderId="103" xfId="37" applyFont="1" applyBorder="1" applyAlignment="1">
      <alignment horizontal="center" vertical="center"/>
    </xf>
    <xf numFmtId="172" fontId="66" fillId="0" borderId="103" xfId="37" applyNumberFormat="1" applyFont="1" applyBorder="1" applyAlignment="1">
      <alignment horizontal="center" vertical="center"/>
    </xf>
    <xf numFmtId="0" fontId="66" fillId="0" borderId="103" xfId="37" applyFont="1" applyFill="1" applyBorder="1"/>
    <xf numFmtId="0" fontId="69" fillId="0" borderId="103" xfId="37" applyFont="1" applyFill="1" applyBorder="1" applyAlignment="1">
      <alignment horizontal="left"/>
    </xf>
    <xf numFmtId="0" fontId="66" fillId="0" borderId="103" xfId="37" applyFont="1" applyFill="1" applyBorder="1" applyAlignment="1">
      <alignment horizontal="center" vertical="center"/>
    </xf>
    <xf numFmtId="172" fontId="66" fillId="0" borderId="103" xfId="37" applyNumberFormat="1" applyFont="1" applyFill="1" applyBorder="1" applyAlignment="1">
      <alignment horizontal="center" vertical="center"/>
    </xf>
    <xf numFmtId="172" fontId="66" fillId="6" borderId="96" xfId="37" applyNumberFormat="1" applyFont="1" applyFill="1" applyBorder="1"/>
    <xf numFmtId="0" fontId="66" fillId="6" borderId="0" xfId="37" applyFont="1" applyFill="1"/>
    <xf numFmtId="0" fontId="66" fillId="6" borderId="0" xfId="37" applyFont="1" applyFill="1" applyAlignment="1">
      <alignment horizontal="center"/>
    </xf>
    <xf numFmtId="0" fontId="2" fillId="6" borderId="0" xfId="37" applyFill="1"/>
    <xf numFmtId="0" fontId="66" fillId="0" borderId="103" xfId="37" applyFont="1" applyFill="1" applyBorder="1" applyAlignment="1">
      <alignment horizontal="left"/>
    </xf>
    <xf numFmtId="0" fontId="66" fillId="0" borderId="103" xfId="37" applyFont="1" applyFill="1" applyBorder="1" applyAlignment="1">
      <alignment horizontal="left" indent="1"/>
    </xf>
    <xf numFmtId="0" fontId="66" fillId="0" borderId="103" xfId="37" applyFont="1" applyBorder="1" applyAlignment="1">
      <alignment horizontal="left" indent="1"/>
    </xf>
    <xf numFmtId="0" fontId="66" fillId="0" borderId="103" xfId="37" applyFont="1" applyBorder="1" applyAlignment="1"/>
    <xf numFmtId="172" fontId="66" fillId="0" borderId="0" xfId="37" applyNumberFormat="1" applyFont="1" applyFill="1" applyBorder="1" applyAlignment="1">
      <alignment horizontal="center" vertical="center"/>
    </xf>
    <xf numFmtId="172" fontId="66" fillId="0" borderId="0" xfId="37" applyNumberFormat="1" applyFont="1" applyBorder="1" applyAlignment="1">
      <alignment horizontal="center" vertical="center"/>
    </xf>
    <xf numFmtId="0" fontId="69" fillId="0" borderId="103" xfId="37" applyFont="1" applyFill="1" applyBorder="1" applyAlignment="1"/>
    <xf numFmtId="0" fontId="2" fillId="0" borderId="0" xfId="37" applyFill="1"/>
    <xf numFmtId="0" fontId="66" fillId="0" borderId="103" xfId="37" applyFont="1" applyFill="1" applyBorder="1" applyAlignment="1"/>
    <xf numFmtId="172" fontId="69" fillId="0" borderId="103" xfId="37" applyNumberFormat="1" applyFont="1" applyFill="1" applyBorder="1" applyAlignment="1">
      <alignment horizontal="center" vertical="center"/>
    </xf>
    <xf numFmtId="164" fontId="66" fillId="0" borderId="0" xfId="38" applyFont="1"/>
    <xf numFmtId="0" fontId="69" fillId="0" borderId="103" xfId="37" applyFont="1" applyFill="1" applyBorder="1"/>
    <xf numFmtId="164" fontId="66" fillId="0" borderId="72" xfId="37" applyNumberFormat="1" applyFont="1" applyFill="1" applyBorder="1" applyAlignment="1">
      <alignment horizontal="left"/>
    </xf>
    <xf numFmtId="164" fontId="66" fillId="0" borderId="72" xfId="37" applyNumberFormat="1" applyFont="1" applyFill="1" applyBorder="1" applyAlignment="1"/>
    <xf numFmtId="172" fontId="66" fillId="0" borderId="96" xfId="37" applyNumberFormat="1" applyFont="1" applyFill="1" applyBorder="1"/>
    <xf numFmtId="0" fontId="66" fillId="0" borderId="0" xfId="37" applyFont="1" applyFill="1"/>
    <xf numFmtId="0" fontId="66" fillId="0" borderId="0" xfId="37" applyFont="1" applyFill="1" applyAlignment="1">
      <alignment horizontal="center"/>
    </xf>
    <xf numFmtId="164" fontId="70" fillId="0" borderId="72" xfId="37" applyNumberFormat="1" applyFont="1" applyFill="1" applyBorder="1" applyAlignment="1"/>
    <xf numFmtId="164" fontId="66" fillId="0" borderId="0" xfId="37" applyNumberFormat="1" applyFont="1" applyFill="1" applyBorder="1" applyAlignment="1"/>
    <xf numFmtId="164" fontId="66" fillId="0" borderId="0" xfId="37" applyNumberFormat="1" applyFont="1" applyFill="1" applyBorder="1" applyAlignment="1">
      <alignment horizontal="center"/>
    </xf>
    <xf numFmtId="0" fontId="69" fillId="6" borderId="103" xfId="37" applyFont="1" applyFill="1" applyBorder="1" applyAlignment="1"/>
    <xf numFmtId="0" fontId="66" fillId="6" borderId="103" xfId="37" applyFont="1" applyFill="1" applyBorder="1" applyAlignment="1">
      <alignment horizontal="center" vertical="center"/>
    </xf>
    <xf numFmtId="172" fontId="66" fillId="6" borderId="103" xfId="37" applyNumberFormat="1" applyFont="1" applyFill="1" applyBorder="1" applyAlignment="1">
      <alignment horizontal="center" vertical="center"/>
    </xf>
    <xf numFmtId="0" fontId="66" fillId="6" borderId="103" xfId="37" applyFont="1" applyFill="1" applyBorder="1" applyAlignment="1"/>
    <xf numFmtId="0" fontId="69" fillId="0" borderId="103" xfId="37" applyFont="1" applyBorder="1" applyAlignment="1"/>
    <xf numFmtId="0" fontId="66" fillId="0" borderId="12" xfId="37" applyFont="1" applyBorder="1"/>
    <xf numFmtId="0" fontId="69" fillId="0" borderId="12" xfId="37" applyFont="1" applyBorder="1" applyAlignment="1">
      <alignment horizontal="center"/>
    </xf>
    <xf numFmtId="0" fontId="69" fillId="0" borderId="12" xfId="37" applyFont="1" applyBorder="1"/>
    <xf numFmtId="0" fontId="66" fillId="0" borderId="12" xfId="37" applyFont="1" applyBorder="1" applyAlignment="1">
      <alignment horizontal="center"/>
    </xf>
    <xf numFmtId="4" fontId="16" fillId="0" borderId="12" xfId="39" applyNumberFormat="1" applyFont="1" applyBorder="1" applyAlignment="1">
      <alignment vertical="center"/>
    </xf>
    <xf numFmtId="0" fontId="66" fillId="7" borderId="103" xfId="37" applyFont="1" applyFill="1" applyBorder="1" applyAlignment="1">
      <alignment horizontal="left" indent="1"/>
    </xf>
    <xf numFmtId="0" fontId="66" fillId="7" borderId="103" xfId="37" applyFont="1" applyFill="1" applyBorder="1" applyAlignment="1">
      <alignment horizontal="center" vertical="center"/>
    </xf>
    <xf numFmtId="172" fontId="66" fillId="7" borderId="103" xfId="37" applyNumberFormat="1" applyFont="1" applyFill="1" applyBorder="1" applyAlignment="1">
      <alignment horizontal="center" vertical="center"/>
    </xf>
    <xf numFmtId="164" fontId="69" fillId="0" borderId="12" xfId="38" applyFont="1" applyBorder="1" applyAlignment="1">
      <alignment horizontal="center"/>
    </xf>
    <xf numFmtId="0" fontId="69" fillId="0" borderId="103" xfId="37" applyFont="1" applyBorder="1" applyAlignment="1">
      <alignment horizontal="left"/>
    </xf>
    <xf numFmtId="172" fontId="66" fillId="0" borderId="0" xfId="37" applyNumberFormat="1" applyFont="1" applyAlignment="1">
      <alignment horizontal="center"/>
    </xf>
    <xf numFmtId="0" fontId="66" fillId="7" borderId="103" xfId="37" applyFont="1" applyFill="1" applyBorder="1"/>
    <xf numFmtId="0" fontId="66" fillId="7" borderId="103" xfId="37" applyFont="1" applyFill="1" applyBorder="1" applyAlignment="1"/>
    <xf numFmtId="0" fontId="66" fillId="0" borderId="103" xfId="37" applyFont="1" applyBorder="1" applyAlignment="1">
      <alignment horizontal="left"/>
    </xf>
    <xf numFmtId="0" fontId="66" fillId="0" borderId="72" xfId="37" applyFont="1" applyBorder="1" applyAlignment="1">
      <alignment horizontal="left"/>
    </xf>
    <xf numFmtId="172" fontId="69" fillId="0" borderId="103" xfId="37" applyNumberFormat="1" applyFont="1" applyBorder="1" applyAlignment="1">
      <alignment horizontal="center" vertical="center"/>
    </xf>
    <xf numFmtId="0" fontId="66" fillId="0" borderId="104" xfId="37" applyFont="1" applyBorder="1" applyAlignment="1">
      <alignment horizontal="left"/>
    </xf>
    <xf numFmtId="0" fontId="66" fillId="0" borderId="104" xfId="37" applyFont="1" applyBorder="1" applyAlignment="1">
      <alignment horizontal="center"/>
    </xf>
    <xf numFmtId="0" fontId="69" fillId="0" borderId="104" xfId="37" applyFont="1" applyBorder="1" applyAlignment="1">
      <alignment horizontal="center"/>
    </xf>
    <xf numFmtId="0" fontId="66" fillId="0" borderId="104" xfId="37" applyFont="1" applyBorder="1"/>
    <xf numFmtId="0" fontId="66" fillId="0" borderId="105" xfId="37" applyFont="1" applyBorder="1" applyAlignment="1">
      <alignment horizontal="left"/>
    </xf>
    <xf numFmtId="0" fontId="66" fillId="0" borderId="105" xfId="37" applyFont="1" applyBorder="1" applyAlignment="1">
      <alignment horizontal="center"/>
    </xf>
    <xf numFmtId="0" fontId="69" fillId="0" borderId="105" xfId="37" applyFont="1" applyBorder="1" applyAlignment="1">
      <alignment horizontal="center"/>
    </xf>
    <xf numFmtId="0" fontId="66" fillId="0" borderId="105" xfId="37" applyFont="1" applyBorder="1"/>
    <xf numFmtId="0" fontId="66" fillId="6" borderId="103" xfId="37" applyFont="1" applyFill="1" applyBorder="1"/>
    <xf numFmtId="0" fontId="66" fillId="6" borderId="103" xfId="37" applyFont="1" applyFill="1" applyBorder="1" applyAlignment="1">
      <alignment horizontal="left"/>
    </xf>
    <xf numFmtId="164" fontId="66" fillId="6" borderId="72" xfId="37" applyNumberFormat="1" applyFont="1" applyFill="1" applyBorder="1" applyAlignment="1">
      <alignment horizontal="left"/>
    </xf>
    <xf numFmtId="164" fontId="66" fillId="6" borderId="72" xfId="37" applyNumberFormat="1" applyFont="1" applyFill="1" applyBorder="1" applyAlignment="1">
      <alignment horizontal="left" wrapText="1"/>
    </xf>
    <xf numFmtId="172" fontId="66" fillId="6" borderId="0" xfId="37" applyNumberFormat="1" applyFont="1" applyFill="1" applyAlignment="1">
      <alignment horizontal="center"/>
    </xf>
    <xf numFmtId="164" fontId="66" fillId="0" borderId="0" xfId="37" applyNumberFormat="1" applyFont="1" applyBorder="1" applyAlignment="1">
      <alignment wrapText="1"/>
    </xf>
    <xf numFmtId="164" fontId="66" fillId="0" borderId="0" xfId="37" applyNumberFormat="1" applyFont="1"/>
    <xf numFmtId="164" fontId="66" fillId="0" borderId="0" xfId="37" applyNumberFormat="1" applyFont="1" applyFill="1"/>
    <xf numFmtId="172" fontId="66" fillId="0" borderId="0" xfId="37" applyNumberFormat="1" applyFont="1" applyFill="1" applyAlignment="1">
      <alignment horizontal="center"/>
    </xf>
    <xf numFmtId="0" fontId="66" fillId="6" borderId="0" xfId="37" applyFont="1" applyFill="1" applyBorder="1" applyAlignment="1">
      <alignment horizontal="left"/>
    </xf>
    <xf numFmtId="164" fontId="66" fillId="6" borderId="72" xfId="37" applyNumberFormat="1" applyFont="1" applyFill="1" applyBorder="1" applyAlignment="1">
      <alignment horizontal="center"/>
    </xf>
    <xf numFmtId="0" fontId="2" fillId="0" borderId="106" xfId="37" applyFill="1" applyBorder="1"/>
    <xf numFmtId="0" fontId="2" fillId="0" borderId="72" xfId="37" applyFill="1" applyBorder="1"/>
    <xf numFmtId="0" fontId="2" fillId="6" borderId="5" xfId="37" applyFill="1" applyBorder="1"/>
    <xf numFmtId="0" fontId="2" fillId="0" borderId="5" xfId="37" applyBorder="1"/>
    <xf numFmtId="0" fontId="2" fillId="0" borderId="4" xfId="37" applyBorder="1"/>
    <xf numFmtId="0" fontId="2" fillId="0" borderId="72" xfId="37" applyBorder="1"/>
    <xf numFmtId="0" fontId="2" fillId="6" borderId="0" xfId="37" applyFill="1" applyAlignment="1">
      <alignment horizontal="center"/>
    </xf>
    <xf numFmtId="0" fontId="2" fillId="0" borderId="0" xfId="37" applyAlignment="1">
      <alignment horizontal="center"/>
    </xf>
    <xf numFmtId="0" fontId="66" fillId="0" borderId="103" xfId="37" applyFont="1" applyBorder="1" applyAlignment="1">
      <alignment horizontal="center"/>
    </xf>
    <xf numFmtId="172" fontId="66" fillId="0" borderId="0" xfId="37" applyNumberFormat="1" applyFont="1" applyAlignment="1">
      <alignment horizontal="center" vertical="center"/>
    </xf>
    <xf numFmtId="0" fontId="12" fillId="0" borderId="0" xfId="40"/>
    <xf numFmtId="164" fontId="66" fillId="0" borderId="83" xfId="37" applyNumberFormat="1" applyFont="1" applyBorder="1"/>
    <xf numFmtId="164" fontId="69" fillId="0" borderId="83" xfId="37" applyNumberFormat="1" applyFont="1" applyBorder="1" applyAlignment="1">
      <alignment horizontal="center"/>
    </xf>
    <xf numFmtId="164" fontId="66" fillId="0" borderId="72" xfId="37" applyNumberFormat="1" applyFont="1" applyBorder="1"/>
    <xf numFmtId="164" fontId="66" fillId="0" borderId="72" xfId="37" applyNumberFormat="1" applyFont="1" applyBorder="1" applyAlignment="1">
      <alignment horizontal="left"/>
    </xf>
    <xf numFmtId="164" fontId="66" fillId="0" borderId="72" xfId="37" applyNumberFormat="1" applyFont="1" applyBorder="1" applyAlignment="1">
      <alignment horizontal="center"/>
    </xf>
    <xf numFmtId="164" fontId="69" fillId="0" borderId="72" xfId="37" applyNumberFormat="1" applyFont="1" applyBorder="1"/>
    <xf numFmtId="164" fontId="66" fillId="9" borderId="72" xfId="37" applyNumberFormat="1" applyFont="1" applyFill="1" applyBorder="1"/>
    <xf numFmtId="164" fontId="66" fillId="9" borderId="72" xfId="37" applyNumberFormat="1" applyFont="1" applyFill="1" applyBorder="1" applyAlignment="1">
      <alignment horizontal="center"/>
    </xf>
    <xf numFmtId="164" fontId="69" fillId="9" borderId="72" xfId="37" applyNumberFormat="1" applyFont="1" applyFill="1" applyBorder="1" applyAlignment="1">
      <alignment horizontal="center"/>
    </xf>
    <xf numFmtId="164" fontId="69" fillId="0" borderId="72" xfId="37" applyNumberFormat="1" applyFont="1" applyBorder="1" applyAlignment="1">
      <alignment horizontal="center"/>
    </xf>
    <xf numFmtId="164" fontId="69" fillId="10" borderId="53" xfId="37" applyNumberFormat="1" applyFont="1" applyFill="1" applyBorder="1" applyAlignment="1">
      <alignment horizontal="center"/>
    </xf>
    <xf numFmtId="164" fontId="69" fillId="10" borderId="88" xfId="37" applyNumberFormat="1" applyFont="1" applyFill="1" applyBorder="1" applyAlignment="1">
      <alignment horizontal="center"/>
    </xf>
    <xf numFmtId="164" fontId="69" fillId="10" borderId="0" xfId="37" applyNumberFormat="1" applyFont="1" applyFill="1" applyBorder="1" applyAlignment="1">
      <alignment horizontal="center"/>
    </xf>
    <xf numFmtId="164" fontId="66" fillId="6" borderId="72" xfId="37" applyNumberFormat="1" applyFont="1" applyFill="1" applyBorder="1"/>
    <xf numFmtId="164" fontId="70" fillId="0" borderId="72" xfId="37" applyNumberFormat="1" applyFont="1" applyBorder="1"/>
    <xf numFmtId="164" fontId="66" fillId="0" borderId="72" xfId="37" applyNumberFormat="1" applyFont="1" applyFill="1" applyBorder="1"/>
    <xf numFmtId="164" fontId="66" fillId="0" borderId="72" xfId="37" applyNumberFormat="1" applyFont="1" applyFill="1" applyBorder="1" applyAlignment="1">
      <alignment horizontal="center"/>
    </xf>
    <xf numFmtId="164" fontId="66" fillId="0" borderId="72" xfId="37" applyNumberFormat="1" applyFont="1" applyBorder="1" applyAlignment="1">
      <alignment wrapText="1"/>
    </xf>
    <xf numFmtId="164" fontId="66" fillId="0" borderId="0" xfId="37" applyNumberFormat="1" applyFont="1" applyAlignment="1">
      <alignment horizontal="left"/>
    </xf>
    <xf numFmtId="164" fontId="66" fillId="0" borderId="0" xfId="37" applyNumberFormat="1" applyFont="1" applyAlignment="1">
      <alignment horizontal="center"/>
    </xf>
    <xf numFmtId="164" fontId="66" fillId="0" borderId="12" xfId="37" applyNumberFormat="1" applyFont="1" applyBorder="1"/>
    <xf numFmtId="164" fontId="69" fillId="0" borderId="12" xfId="37" applyNumberFormat="1" applyFont="1" applyBorder="1" applyAlignment="1">
      <alignment horizontal="center"/>
    </xf>
    <xf numFmtId="164" fontId="66" fillId="0" borderId="13" xfId="37" applyNumberFormat="1" applyFont="1" applyBorder="1"/>
    <xf numFmtId="164" fontId="66" fillId="0" borderId="13" xfId="37" applyNumberFormat="1" applyFont="1" applyBorder="1" applyAlignment="1">
      <alignment horizontal="left"/>
    </xf>
    <xf numFmtId="164" fontId="66" fillId="0" borderId="13" xfId="37" applyNumberFormat="1" applyFont="1" applyBorder="1" applyAlignment="1">
      <alignment horizontal="center"/>
    </xf>
    <xf numFmtId="164" fontId="66" fillId="0" borderId="13" xfId="37" applyNumberFormat="1" applyFont="1" applyFill="1" applyBorder="1"/>
    <xf numFmtId="164" fontId="66" fillId="0" borderId="13" xfId="37" applyNumberFormat="1" applyFont="1" applyFill="1" applyBorder="1" applyAlignment="1">
      <alignment horizontal="center"/>
    </xf>
    <xf numFmtId="164" fontId="66" fillId="0" borderId="13" xfId="37" applyNumberFormat="1" applyFont="1" applyBorder="1" applyAlignment="1">
      <alignment wrapText="1"/>
    </xf>
    <xf numFmtId="164" fontId="66" fillId="0" borderId="12" xfId="37" applyNumberFormat="1" applyFont="1" applyBorder="1" applyAlignment="1">
      <alignment horizontal="center"/>
    </xf>
    <xf numFmtId="164" fontId="66" fillId="6" borderId="72" xfId="37" applyNumberFormat="1" applyFont="1" applyFill="1" applyBorder="1" applyAlignment="1">
      <alignment wrapText="1"/>
    </xf>
    <xf numFmtId="164" fontId="69" fillId="0" borderId="0" xfId="37" applyNumberFormat="1" applyFont="1" applyAlignment="1">
      <alignment horizontal="center"/>
    </xf>
    <xf numFmtId="164" fontId="69" fillId="10" borderId="17" xfId="37" applyNumberFormat="1" applyFont="1" applyFill="1" applyBorder="1" applyAlignment="1">
      <alignment horizontal="center"/>
    </xf>
    <xf numFmtId="164" fontId="69" fillId="10" borderId="20" xfId="37" applyNumberFormat="1" applyFont="1" applyFill="1" applyBorder="1" applyAlignment="1">
      <alignment horizontal="center"/>
    </xf>
    <xf numFmtId="164" fontId="69" fillId="0" borderId="35" xfId="37" applyNumberFormat="1" applyFont="1" applyBorder="1" applyAlignment="1">
      <alignment horizontal="center"/>
    </xf>
    <xf numFmtId="164" fontId="66" fillId="0" borderId="35" xfId="37" applyNumberFormat="1" applyFont="1" applyBorder="1" applyAlignment="1">
      <alignment horizontal="center"/>
    </xf>
    <xf numFmtId="164" fontId="69" fillId="0" borderId="91" xfId="37" applyNumberFormat="1" applyFont="1" applyBorder="1" applyAlignment="1">
      <alignment horizontal="center"/>
    </xf>
    <xf numFmtId="0" fontId="12" fillId="0" borderId="0" xfId="40" applyAlignment="1">
      <alignment horizontal="center"/>
    </xf>
    <xf numFmtId="164" fontId="69" fillId="10" borderId="40" xfId="37" applyNumberFormat="1" applyFont="1" applyFill="1" applyBorder="1" applyAlignment="1">
      <alignment horizontal="center"/>
    </xf>
    <xf numFmtId="43" fontId="12" fillId="0" borderId="0" xfId="40" applyNumberFormat="1"/>
    <xf numFmtId="0" fontId="12" fillId="0" borderId="12" xfId="40" applyFont="1" applyBorder="1" applyAlignment="1">
      <alignment horizontal="center"/>
    </xf>
    <xf numFmtId="164" fontId="0" fillId="0" borderId="12" xfId="2" applyFont="1" applyBorder="1" applyAlignment="1">
      <alignment horizontal="center"/>
    </xf>
    <xf numFmtId="164" fontId="30" fillId="0" borderId="42" xfId="2" applyFont="1" applyBorder="1" applyAlignment="1">
      <alignment horizontal="center"/>
    </xf>
    <xf numFmtId="164" fontId="0" fillId="0" borderId="33" xfId="2" applyFont="1" applyBorder="1" applyAlignment="1">
      <alignment horizontal="center"/>
    </xf>
    <xf numFmtId="164" fontId="30" fillId="0" borderId="12" xfId="2" applyFont="1" applyBorder="1" applyAlignment="1">
      <alignment horizontal="center"/>
    </xf>
    <xf numFmtId="164" fontId="66" fillId="0" borderId="72" xfId="37" applyNumberFormat="1" applyFont="1" applyFill="1" applyBorder="1" applyAlignment="1">
      <alignment wrapText="1"/>
    </xf>
    <xf numFmtId="164" fontId="69" fillId="0" borderId="83" xfId="37" applyNumberFormat="1" applyFont="1" applyBorder="1" applyAlignment="1">
      <alignment horizontal="center" vertical="center"/>
    </xf>
    <xf numFmtId="164" fontId="66" fillId="0" borderId="72" xfId="37" applyNumberFormat="1" applyFont="1" applyBorder="1" applyAlignment="1">
      <alignment horizontal="center" vertical="center"/>
    </xf>
    <xf numFmtId="164" fontId="66" fillId="0" borderId="55" xfId="37" applyNumberFormat="1" applyFont="1" applyBorder="1" applyAlignment="1">
      <alignment horizontal="center"/>
    </xf>
    <xf numFmtId="164" fontId="69" fillId="0" borderId="72" xfId="37" applyNumberFormat="1" applyFont="1" applyBorder="1" applyAlignment="1">
      <alignment horizontal="center" vertical="center"/>
    </xf>
    <xf numFmtId="164" fontId="69" fillId="10" borderId="68" xfId="37" applyNumberFormat="1" applyFont="1" applyFill="1" applyBorder="1" applyAlignment="1">
      <alignment horizontal="center"/>
    </xf>
    <xf numFmtId="164" fontId="69" fillId="0" borderId="72" xfId="37" applyNumberFormat="1" applyFont="1" applyFill="1" applyBorder="1"/>
    <xf numFmtId="164" fontId="69" fillId="10" borderId="16" xfId="37" applyNumberFormat="1" applyFont="1" applyFill="1" applyBorder="1" applyAlignment="1">
      <alignment horizontal="center"/>
    </xf>
    <xf numFmtId="164" fontId="69" fillId="10" borderId="79" xfId="37" applyNumberFormat="1" applyFont="1" applyFill="1" applyBorder="1" applyAlignment="1">
      <alignment horizontal="center"/>
    </xf>
    <xf numFmtId="164" fontId="12" fillId="0" borderId="0" xfId="38" applyFont="1" applyAlignment="1">
      <alignment horizontal="center"/>
    </xf>
    <xf numFmtId="43" fontId="12" fillId="0" borderId="0" xfId="40" applyNumberFormat="1" applyAlignment="1">
      <alignment horizontal="center"/>
    </xf>
    <xf numFmtId="164" fontId="69" fillId="10" borderId="107" xfId="37" applyNumberFormat="1" applyFont="1" applyFill="1" applyBorder="1" applyAlignment="1">
      <alignment horizontal="center"/>
    </xf>
    <xf numFmtId="164" fontId="69" fillId="10" borderId="54" xfId="37" applyNumberFormat="1" applyFont="1" applyFill="1" applyBorder="1" applyAlignment="1">
      <alignment horizontal="center"/>
    </xf>
    <xf numFmtId="164" fontId="66" fillId="11" borderId="72" xfId="37" applyNumberFormat="1" applyFont="1" applyFill="1" applyBorder="1"/>
    <xf numFmtId="164" fontId="66" fillId="11" borderId="72" xfId="37" applyNumberFormat="1" applyFont="1" applyFill="1" applyBorder="1" applyAlignment="1">
      <alignment horizontal="center"/>
    </xf>
    <xf numFmtId="164" fontId="66" fillId="11" borderId="72" xfId="37" applyNumberFormat="1" applyFont="1" applyFill="1" applyBorder="1" applyAlignment="1">
      <alignment wrapText="1"/>
    </xf>
    <xf numFmtId="164" fontId="0" fillId="0" borderId="0" xfId="2" applyFont="1" applyAlignment="1">
      <alignment horizontal="center"/>
    </xf>
    <xf numFmtId="166" fontId="66" fillId="0" borderId="72" xfId="37" applyNumberFormat="1" applyFont="1" applyBorder="1" applyAlignment="1">
      <alignment horizontal="center"/>
    </xf>
    <xf numFmtId="164" fontId="69" fillId="10" borderId="108" xfId="37" applyNumberFormat="1" applyFont="1" applyFill="1" applyBorder="1" applyAlignment="1">
      <alignment horizontal="center"/>
    </xf>
    <xf numFmtId="43" fontId="69" fillId="10" borderId="108" xfId="41" applyNumberFormat="1" applyFont="1" applyFill="1" applyBorder="1"/>
    <xf numFmtId="164" fontId="69" fillId="0" borderId="12" xfId="37" applyNumberFormat="1" applyFont="1" applyBorder="1" applyAlignment="1">
      <alignment horizontal="center" vertical="center"/>
    </xf>
    <xf numFmtId="164" fontId="69" fillId="0" borderId="26" xfId="37" applyNumberFormat="1" applyFont="1" applyBorder="1" applyAlignment="1">
      <alignment horizontal="center"/>
    </xf>
    <xf numFmtId="164" fontId="66" fillId="0" borderId="57" xfId="37" applyNumberFormat="1" applyFont="1" applyBorder="1"/>
    <xf numFmtId="164" fontId="66" fillId="0" borderId="57" xfId="37" applyNumberFormat="1" applyFont="1" applyBorder="1" applyAlignment="1">
      <alignment horizontal="left" vertical="center"/>
    </xf>
    <xf numFmtId="164" fontId="66" fillId="0" borderId="57" xfId="38" applyFont="1" applyBorder="1"/>
    <xf numFmtId="164" fontId="66" fillId="0" borderId="59" xfId="37" applyNumberFormat="1" applyFont="1" applyBorder="1"/>
    <xf numFmtId="164" fontId="66" fillId="0" borderId="59" xfId="37" applyNumberFormat="1" applyFont="1" applyBorder="1" applyAlignment="1">
      <alignment horizontal="left" vertical="center"/>
    </xf>
    <xf numFmtId="166" fontId="66" fillId="0" borderId="59" xfId="38" applyNumberFormat="1" applyFont="1" applyBorder="1"/>
    <xf numFmtId="164" fontId="66" fillId="0" borderId="59" xfId="38" applyFont="1" applyBorder="1"/>
    <xf numFmtId="164" fontId="69" fillId="0" borderId="59" xfId="37" applyNumberFormat="1" applyFont="1" applyBorder="1"/>
    <xf numFmtId="166" fontId="66" fillId="0" borderId="59" xfId="38" applyNumberFormat="1" applyFont="1" applyFill="1" applyBorder="1"/>
    <xf numFmtId="164" fontId="66" fillId="0" borderId="59" xfId="38" applyFont="1" applyFill="1" applyBorder="1"/>
    <xf numFmtId="164" fontId="66" fillId="0" borderId="82" xfId="37" applyNumberFormat="1" applyFont="1" applyBorder="1"/>
    <xf numFmtId="164" fontId="69" fillId="0" borderId="12" xfId="37" applyNumberFormat="1" applyFont="1" applyBorder="1"/>
    <xf numFmtId="164" fontId="69" fillId="0" borderId="13" xfId="37" applyNumberFormat="1" applyFont="1" applyBorder="1"/>
    <xf numFmtId="164" fontId="66" fillId="0" borderId="82" xfId="37" applyNumberFormat="1" applyFont="1" applyBorder="1" applyAlignment="1">
      <alignment horizontal="left" vertical="center"/>
    </xf>
    <xf numFmtId="164" fontId="66" fillId="0" borderId="82" xfId="38" applyFont="1" applyFill="1" applyBorder="1"/>
    <xf numFmtId="164" fontId="66" fillId="0" borderId="67" xfId="37" applyNumberFormat="1" applyFont="1" applyBorder="1" applyAlignment="1">
      <alignment horizontal="left" vertical="center"/>
    </xf>
    <xf numFmtId="164" fontId="66" fillId="0" borderId="67" xfId="38" applyFont="1" applyFill="1" applyBorder="1"/>
    <xf numFmtId="164" fontId="69" fillId="0" borderId="109" xfId="37" applyNumberFormat="1" applyFont="1" applyBorder="1"/>
    <xf numFmtId="164" fontId="66" fillId="0" borderId="0" xfId="37" applyNumberFormat="1" applyFont="1" applyAlignment="1">
      <alignment horizontal="left" vertical="center"/>
    </xf>
    <xf numFmtId="164" fontId="66" fillId="0" borderId="0" xfId="38" applyFont="1" applyFill="1"/>
    <xf numFmtId="164" fontId="2" fillId="0" borderId="0" xfId="37" applyNumberFormat="1"/>
    <xf numFmtId="164" fontId="69" fillId="0" borderId="109" xfId="38" applyFont="1" applyFill="1" applyBorder="1"/>
    <xf numFmtId="164" fontId="69" fillId="0" borderId="72" xfId="37" applyNumberFormat="1" applyFont="1" applyBorder="1" applyAlignment="1">
      <alignment horizontal="left"/>
    </xf>
    <xf numFmtId="164" fontId="69" fillId="10" borderId="55" xfId="37" applyNumberFormat="1" applyFont="1" applyFill="1" applyBorder="1" applyAlignment="1">
      <alignment horizontal="center"/>
    </xf>
    <xf numFmtId="164" fontId="69" fillId="10" borderId="83" xfId="37" applyNumberFormat="1" applyFont="1" applyFill="1" applyBorder="1" applyAlignment="1">
      <alignment horizontal="center"/>
    </xf>
    <xf numFmtId="164" fontId="69" fillId="0" borderId="72" xfId="37" applyNumberFormat="1" applyFont="1" applyBorder="1" applyAlignment="1">
      <alignment wrapText="1"/>
    </xf>
    <xf numFmtId="164" fontId="69" fillId="0" borderId="42" xfId="38" applyFont="1" applyFill="1" applyBorder="1"/>
    <xf numFmtId="164" fontId="66" fillId="0" borderId="57" xfId="38" applyFont="1" applyFill="1" applyBorder="1"/>
    <xf numFmtId="164" fontId="74" fillId="0" borderId="0" xfId="37" applyNumberFormat="1" applyFont="1"/>
    <xf numFmtId="164" fontId="15" fillId="0" borderId="14" xfId="1" applyFont="1" applyFill="1" applyBorder="1" applyAlignment="1">
      <alignment horizontal="right" vertical="top"/>
    </xf>
    <xf numFmtId="164" fontId="15" fillId="0" borderId="110" xfId="1" applyFont="1" applyFill="1" applyBorder="1" applyAlignment="1">
      <alignment horizontal="right" vertical="top"/>
    </xf>
    <xf numFmtId="164" fontId="15" fillId="3" borderId="14" xfId="1" applyFont="1" applyFill="1" applyBorder="1" applyAlignment="1">
      <alignment horizontal="right" vertical="top"/>
    </xf>
    <xf numFmtId="164" fontId="15" fillId="0" borderId="9" xfId="1" applyFont="1" applyFill="1" applyBorder="1" applyAlignment="1">
      <alignment horizontal="right" vertical="top"/>
    </xf>
    <xf numFmtId="0" fontId="16" fillId="13" borderId="9" xfId="0" applyFont="1" applyFill="1" applyBorder="1" applyAlignment="1">
      <alignment horizontal="center"/>
    </xf>
    <xf numFmtId="4" fontId="16" fillId="0" borderId="83" xfId="0" applyNumberFormat="1" applyFont="1" applyFill="1" applyBorder="1" applyAlignment="1">
      <alignment horizontal="center" vertical="center"/>
    </xf>
    <xf numFmtId="164" fontId="15" fillId="3" borderId="112" xfId="38" applyFont="1" applyFill="1" applyBorder="1" applyAlignment="1">
      <alignment horizontal="right" vertical="center"/>
    </xf>
    <xf numFmtId="164" fontId="15" fillId="13" borderId="14" xfId="1" applyFont="1" applyFill="1" applyBorder="1" applyAlignment="1">
      <alignment horizontal="right" vertical="top"/>
    </xf>
    <xf numFmtId="164" fontId="15" fillId="13" borderId="110" xfId="1" applyFont="1" applyFill="1" applyBorder="1" applyAlignment="1">
      <alignment horizontal="right" vertical="top"/>
    </xf>
    <xf numFmtId="164" fontId="15" fillId="13" borderId="14" xfId="1" applyFont="1" applyFill="1" applyBorder="1" applyAlignment="1">
      <alignment horizontal="right" vertical="center"/>
    </xf>
    <xf numFmtId="164" fontId="15" fillId="13" borderId="9" xfId="1" applyFont="1" applyFill="1" applyBorder="1" applyAlignment="1">
      <alignment horizontal="right" vertical="top"/>
    </xf>
    <xf numFmtId="164" fontId="15" fillId="13" borderId="0" xfId="1" applyFont="1" applyFill="1" applyBorder="1" applyAlignment="1">
      <alignment horizontal="right" vertical="top"/>
    </xf>
    <xf numFmtId="0" fontId="16" fillId="3" borderId="9" xfId="0" applyFont="1" applyFill="1" applyBorder="1" applyAlignment="1">
      <alignment horizontal="center"/>
    </xf>
    <xf numFmtId="164" fontId="15" fillId="3" borderId="14" xfId="1" applyFont="1" applyFill="1" applyBorder="1" applyAlignment="1">
      <alignment horizontal="left" vertical="center"/>
    </xf>
    <xf numFmtId="164" fontId="15" fillId="3" borderId="14" xfId="1" applyFont="1" applyFill="1" applyBorder="1" applyAlignment="1">
      <alignment horizontal="right" vertical="center"/>
    </xf>
    <xf numFmtId="164" fontId="15" fillId="3" borderId="9" xfId="1" applyFont="1" applyFill="1" applyBorder="1" applyAlignment="1">
      <alignment horizontal="right" vertical="top"/>
    </xf>
    <xf numFmtId="164" fontId="15" fillId="3" borderId="0" xfId="1" applyFont="1" applyFill="1" applyBorder="1" applyAlignment="1">
      <alignment horizontal="right" vertical="top"/>
    </xf>
    <xf numFmtId="164" fontId="16" fillId="13" borderId="8" xfId="1" applyFont="1" applyFill="1" applyBorder="1" applyAlignment="1">
      <alignment horizontal="center"/>
    </xf>
    <xf numFmtId="164" fontId="15" fillId="13" borderId="13" xfId="1" applyFont="1" applyFill="1" applyBorder="1" applyAlignment="1">
      <alignment horizontal="right" vertical="top"/>
    </xf>
    <xf numFmtId="164" fontId="15" fillId="13" borderId="37" xfId="1" applyFont="1" applyFill="1" applyBorder="1" applyAlignment="1">
      <alignment horizontal="right" vertical="top"/>
    </xf>
    <xf numFmtId="164" fontId="15" fillId="13" borderId="13" xfId="1" applyFont="1" applyFill="1" applyBorder="1" applyAlignment="1">
      <alignment horizontal="right" vertical="center"/>
    </xf>
    <xf numFmtId="164" fontId="15" fillId="13" borderId="8" xfId="1" applyFont="1" applyFill="1" applyBorder="1" applyAlignment="1">
      <alignment horizontal="right" vertical="top"/>
    </xf>
    <xf numFmtId="4" fontId="15" fillId="0" borderId="0" xfId="0" applyNumberFormat="1" applyFont="1" applyFill="1" applyBorder="1" applyAlignment="1">
      <alignment horizontal="right" vertical="center"/>
    </xf>
    <xf numFmtId="4" fontId="15" fillId="0" borderId="0" xfId="0" applyNumberFormat="1" applyFont="1" applyBorder="1" applyAlignment="1">
      <alignment horizontal="justify" vertical="center"/>
    </xf>
    <xf numFmtId="4" fontId="15" fillId="13" borderId="13" xfId="0" applyNumberFormat="1" applyFont="1" applyFill="1" applyBorder="1" applyAlignment="1">
      <alignment horizontal="center" vertical="top"/>
    </xf>
    <xf numFmtId="4" fontId="15" fillId="13" borderId="29" xfId="0" applyNumberFormat="1" applyFont="1" applyFill="1" applyBorder="1" applyAlignment="1">
      <alignment horizontal="center" vertical="top"/>
    </xf>
    <xf numFmtId="4" fontId="15" fillId="13" borderId="8" xfId="0" applyNumberFormat="1" applyFont="1" applyFill="1" applyBorder="1" applyAlignment="1">
      <alignment horizontal="center" vertical="top"/>
    </xf>
    <xf numFmtId="4" fontId="15" fillId="13" borderId="0" xfId="0" applyNumberFormat="1" applyFont="1" applyFill="1" applyBorder="1" applyAlignment="1">
      <alignment horizontal="center" vertical="top"/>
    </xf>
    <xf numFmtId="164" fontId="15" fillId="3" borderId="117" xfId="1" applyFont="1" applyFill="1" applyBorder="1" applyAlignment="1">
      <alignment horizontal="left" vertical="center"/>
    </xf>
    <xf numFmtId="4" fontId="15" fillId="0" borderId="116" xfId="0" applyNumberFormat="1" applyFont="1" applyFill="1" applyBorder="1" applyAlignment="1">
      <alignment horizontal="right" vertical="center"/>
    </xf>
    <xf numFmtId="0" fontId="23" fillId="13" borderId="9" xfId="0" applyFont="1" applyFill="1" applyBorder="1" applyAlignment="1">
      <alignment horizontal="center" vertical="center"/>
    </xf>
    <xf numFmtId="164" fontId="16" fillId="0" borderId="8" xfId="1" applyFont="1" applyFill="1" applyBorder="1" applyAlignment="1">
      <alignment horizontal="center" vertical="center"/>
    </xf>
    <xf numFmtId="164" fontId="32" fillId="3" borderId="26" xfId="2" applyFont="1" applyFill="1" applyBorder="1" applyAlignment="1">
      <alignment vertical="center"/>
    </xf>
    <xf numFmtId="164" fontId="31" fillId="3" borderId="80" xfId="2" applyFont="1" applyFill="1" applyBorder="1" applyAlignment="1">
      <alignment vertical="center"/>
    </xf>
    <xf numFmtId="0" fontId="32" fillId="3" borderId="25" xfId="15" applyFont="1" applyFill="1" applyBorder="1" applyAlignment="1">
      <alignment horizontal="center" vertical="center"/>
    </xf>
    <xf numFmtId="164" fontId="32" fillId="3" borderId="12" xfId="2" applyFont="1" applyFill="1" applyBorder="1" applyAlignment="1">
      <alignment horizontal="center" vertical="center"/>
    </xf>
    <xf numFmtId="164" fontId="31" fillId="3" borderId="12" xfId="2" applyFont="1" applyFill="1" applyBorder="1" applyAlignment="1">
      <alignment horizontal="right" vertical="center"/>
    </xf>
    <xf numFmtId="164" fontId="31" fillId="3" borderId="13" xfId="2" applyFont="1" applyFill="1" applyBorder="1" applyAlignment="1">
      <alignment horizontal="center" vertical="center"/>
    </xf>
    <xf numFmtId="164" fontId="13" fillId="13" borderId="13" xfId="2" applyFont="1" applyFill="1" applyBorder="1" applyAlignment="1">
      <alignment vertical="center"/>
    </xf>
    <xf numFmtId="0" fontId="13" fillId="13" borderId="13" xfId="15" applyFont="1" applyFill="1" applyBorder="1" applyAlignment="1">
      <alignment horizontal="center" vertical="center"/>
    </xf>
    <xf numFmtId="0" fontId="32" fillId="13" borderId="25" xfId="15" applyFont="1" applyFill="1" applyBorder="1" applyAlignment="1">
      <alignment horizontal="center" vertical="center"/>
    </xf>
    <xf numFmtId="4" fontId="15" fillId="3" borderId="13" xfId="0" applyNumberFormat="1" applyFont="1" applyFill="1" applyBorder="1" applyAlignment="1">
      <alignment horizontal="justify" vertical="center" wrapText="1"/>
    </xf>
    <xf numFmtId="4" fontId="15" fillId="13" borderId="81" xfId="0" applyNumberFormat="1" applyFont="1" applyFill="1" applyBorder="1" applyAlignment="1">
      <alignment horizontal="center" vertical="center"/>
    </xf>
    <xf numFmtId="4" fontId="15" fillId="13" borderId="82" xfId="0" applyNumberFormat="1" applyFont="1" applyFill="1" applyBorder="1" applyAlignment="1">
      <alignment horizontal="center" vertical="center"/>
    </xf>
    <xf numFmtId="4" fontId="15" fillId="13" borderId="13" xfId="0" applyNumberFormat="1" applyFont="1" applyFill="1" applyBorder="1" applyAlignment="1">
      <alignment horizontal="center" vertical="center"/>
    </xf>
    <xf numFmtId="4" fontId="15" fillId="13" borderId="29" xfId="0" applyNumberFormat="1" applyFont="1" applyFill="1" applyBorder="1" applyAlignment="1">
      <alignment horizontal="center" vertical="center"/>
    </xf>
    <xf numFmtId="4" fontId="15" fillId="13" borderId="0" xfId="0" applyNumberFormat="1" applyFont="1" applyFill="1" applyBorder="1" applyAlignment="1">
      <alignment horizontal="center" vertical="center"/>
    </xf>
    <xf numFmtId="4" fontId="32" fillId="3" borderId="0" xfId="0" applyNumberFormat="1" applyFont="1" applyFill="1" applyBorder="1" applyAlignment="1">
      <alignment vertical="top"/>
    </xf>
    <xf numFmtId="0" fontId="15" fillId="13" borderId="13" xfId="0" applyFont="1" applyFill="1" applyBorder="1" applyAlignment="1">
      <alignment horizontal="center" vertical="justify"/>
    </xf>
    <xf numFmtId="164" fontId="15" fillId="13" borderId="13" xfId="1" applyFont="1" applyFill="1" applyBorder="1" applyAlignment="1">
      <alignment horizontal="center" vertical="center"/>
    </xf>
    <xf numFmtId="164" fontId="15" fillId="13" borderId="37" xfId="1" applyFont="1" applyFill="1" applyBorder="1" applyAlignment="1">
      <alignment horizontal="center" vertical="center"/>
    </xf>
    <xf numFmtId="0" fontId="46" fillId="0" borderId="0" xfId="15" applyNumberFormat="1" applyFont="1" applyBorder="1" applyAlignment="1">
      <alignment horizontal="center"/>
    </xf>
    <xf numFmtId="164" fontId="69" fillId="10" borderId="53" xfId="37" applyNumberFormat="1" applyFont="1" applyFill="1" applyBorder="1" applyAlignment="1">
      <alignment horizontal="center"/>
    </xf>
    <xf numFmtId="164" fontId="69" fillId="9" borderId="72" xfId="37" applyNumberFormat="1" applyFont="1" applyFill="1" applyBorder="1" applyAlignment="1">
      <alignment horizontal="center"/>
    </xf>
    <xf numFmtId="164" fontId="69" fillId="10" borderId="68" xfId="37" applyNumberFormat="1" applyFont="1" applyFill="1" applyBorder="1" applyAlignment="1">
      <alignment horizontal="center"/>
    </xf>
    <xf numFmtId="4" fontId="15" fillId="0" borderId="13" xfId="0" applyNumberFormat="1" applyFont="1" applyFill="1" applyBorder="1" applyAlignment="1">
      <alignment horizontal="center" vertical="center"/>
    </xf>
    <xf numFmtId="4" fontId="15" fillId="2" borderId="13" xfId="0" applyNumberFormat="1" applyFont="1" applyFill="1" applyBorder="1" applyAlignment="1">
      <alignment horizontal="center" vertical="center"/>
    </xf>
    <xf numFmtId="4" fontId="15" fillId="3" borderId="15" xfId="0" applyNumberFormat="1" applyFont="1" applyFill="1" applyBorder="1" applyAlignment="1">
      <alignment horizontal="right" vertical="center"/>
    </xf>
    <xf numFmtId="4" fontId="15" fillId="2" borderId="11" xfId="0" applyNumberFormat="1" applyFont="1" applyFill="1" applyBorder="1" applyAlignment="1">
      <alignment horizontal="center" vertical="center"/>
    </xf>
    <xf numFmtId="4" fontId="15" fillId="2" borderId="0" xfId="0" applyNumberFormat="1" applyFont="1" applyFill="1" applyBorder="1" applyAlignment="1">
      <alignment vertical="center"/>
    </xf>
    <xf numFmtId="4" fontId="18" fillId="3" borderId="13" xfId="0" applyNumberFormat="1" applyFont="1" applyFill="1" applyBorder="1" applyAlignment="1">
      <alignment horizontal="right" vertical="center" wrapText="1"/>
    </xf>
    <xf numFmtId="4" fontId="15" fillId="3" borderId="0" xfId="0" applyNumberFormat="1" applyFont="1" applyFill="1" applyBorder="1" applyAlignment="1">
      <alignment horizontal="right" vertical="center"/>
    </xf>
    <xf numFmtId="4" fontId="15" fillId="3" borderId="0" xfId="0" applyNumberFormat="1" applyFont="1" applyFill="1" applyBorder="1" applyAlignment="1">
      <alignment horizontal="justify" vertical="center"/>
    </xf>
    <xf numFmtId="164" fontId="69" fillId="10" borderId="53" xfId="37" applyNumberFormat="1" applyFont="1" applyFill="1" applyBorder="1" applyAlignment="1">
      <alignment horizontal="center"/>
    </xf>
    <xf numFmtId="164" fontId="69" fillId="9" borderId="72" xfId="37" applyNumberFormat="1" applyFont="1" applyFill="1" applyBorder="1" applyAlignment="1">
      <alignment horizontal="center"/>
    </xf>
    <xf numFmtId="164" fontId="15" fillId="3" borderId="13" xfId="38" applyFont="1" applyFill="1" applyBorder="1" applyAlignment="1">
      <alignment horizontal="center" vertical="center"/>
    </xf>
    <xf numFmtId="4" fontId="15" fillId="3" borderId="27" xfId="0" applyNumberFormat="1" applyFont="1" applyFill="1" applyBorder="1" applyAlignment="1">
      <alignment horizontal="center" vertical="top"/>
    </xf>
    <xf numFmtId="164" fontId="15" fillId="0" borderId="8" xfId="38" applyFont="1" applyFill="1" applyBorder="1" applyAlignment="1">
      <alignment horizontal="center" vertical="center"/>
    </xf>
    <xf numFmtId="164" fontId="15" fillId="0" borderId="81" xfId="38" applyFont="1" applyFill="1" applyBorder="1" applyAlignment="1">
      <alignment horizontal="center" vertical="center"/>
    </xf>
    <xf numFmtId="164" fontId="15" fillId="0" borderId="82" xfId="38" applyFont="1" applyFill="1" applyBorder="1" applyAlignment="1">
      <alignment horizontal="center" vertical="center"/>
    </xf>
    <xf numFmtId="164" fontId="15" fillId="0" borderId="13" xfId="38" applyFont="1" applyFill="1" applyBorder="1" applyAlignment="1">
      <alignment horizontal="center" vertical="center"/>
    </xf>
    <xf numFmtId="164" fontId="15" fillId="0" borderId="29" xfId="38" applyFont="1" applyFill="1" applyBorder="1" applyAlignment="1">
      <alignment horizontal="center" vertical="center"/>
    </xf>
    <xf numFmtId="164" fontId="15" fillId="2" borderId="13" xfId="38" applyFont="1" applyFill="1" applyBorder="1" applyAlignment="1">
      <alignment horizontal="center" vertical="center"/>
    </xf>
    <xf numFmtId="4" fontId="32" fillId="2" borderId="13" xfId="0" applyNumberFormat="1" applyFont="1" applyFill="1" applyBorder="1" applyAlignment="1">
      <alignment horizontal="justify" vertical="center" wrapText="1"/>
    </xf>
    <xf numFmtId="4" fontId="32" fillId="2" borderId="13" xfId="0" applyNumberFormat="1" applyFont="1" applyFill="1" applyBorder="1" applyAlignment="1">
      <alignment horizontal="center" vertical="center" wrapText="1"/>
    </xf>
    <xf numFmtId="4" fontId="15" fillId="2" borderId="15" xfId="0" applyNumberFormat="1" applyFont="1" applyFill="1" applyBorder="1" applyAlignment="1">
      <alignment horizontal="center" vertical="center"/>
    </xf>
    <xf numFmtId="4" fontId="15" fillId="2" borderId="0" xfId="0" applyNumberFormat="1" applyFont="1" applyFill="1" applyBorder="1" applyAlignment="1">
      <alignment horizontal="left" vertical="center"/>
    </xf>
    <xf numFmtId="4" fontId="15" fillId="3" borderId="0" xfId="0" applyNumberFormat="1" applyFont="1" applyFill="1" applyBorder="1" applyAlignment="1">
      <alignment horizontal="left" vertical="top"/>
    </xf>
    <xf numFmtId="164" fontId="15" fillId="0" borderId="0" xfId="38" applyFont="1" applyBorder="1" applyAlignment="1">
      <alignment horizontal="center" vertical="center"/>
    </xf>
    <xf numFmtId="164" fontId="16" fillId="0" borderId="8" xfId="38" applyFont="1" applyFill="1" applyBorder="1" applyAlignment="1">
      <alignment horizontal="center"/>
    </xf>
    <xf numFmtId="4" fontId="18" fillId="0" borderId="37" xfId="15" applyNumberFormat="1" applyFont="1" applyFill="1" applyBorder="1" applyAlignment="1">
      <alignment horizontal="justify" vertical="center" wrapText="1"/>
    </xf>
    <xf numFmtId="164" fontId="15" fillId="0" borderId="13" xfId="38" applyFont="1" applyFill="1" applyBorder="1" applyAlignment="1">
      <alignment horizontal="right" vertical="top"/>
    </xf>
    <xf numFmtId="4" fontId="15" fillId="0" borderId="15" xfId="15" applyNumberFormat="1" applyFont="1" applyFill="1" applyBorder="1" applyAlignment="1">
      <alignment horizontal="right" vertical="top"/>
    </xf>
    <xf numFmtId="4" fontId="15" fillId="0" borderId="11" xfId="15" applyNumberFormat="1" applyFont="1" applyBorder="1" applyAlignment="1">
      <alignment horizontal="center" vertical="top"/>
    </xf>
    <xf numFmtId="4" fontId="15" fillId="0" borderId="13" xfId="15" applyNumberFormat="1" applyFont="1" applyFill="1" applyBorder="1" applyAlignment="1">
      <alignment horizontal="right" vertical="top" wrapText="1"/>
    </xf>
    <xf numFmtId="4" fontId="15" fillId="3" borderId="11" xfId="15" applyNumberFormat="1" applyFont="1" applyFill="1" applyBorder="1" applyAlignment="1">
      <alignment horizontal="center" vertical="top"/>
    </xf>
    <xf numFmtId="4" fontId="15" fillId="3" borderId="13" xfId="15" applyNumberFormat="1" applyFont="1" applyFill="1" applyBorder="1" applyAlignment="1">
      <alignment horizontal="right" vertical="top" wrapText="1"/>
    </xf>
    <xf numFmtId="4" fontId="15" fillId="3" borderId="13" xfId="15" applyNumberFormat="1" applyFont="1" applyFill="1" applyBorder="1" applyAlignment="1">
      <alignment horizontal="center" vertical="top"/>
    </xf>
    <xf numFmtId="164" fontId="15" fillId="3" borderId="13" xfId="38" applyFont="1" applyFill="1" applyBorder="1" applyAlignment="1">
      <alignment horizontal="right" vertical="top"/>
    </xf>
    <xf numFmtId="4" fontId="15" fillId="3" borderId="15" xfId="15" applyNumberFormat="1" applyFont="1" applyFill="1" applyBorder="1" applyAlignment="1">
      <alignment horizontal="right" vertical="top"/>
    </xf>
    <xf numFmtId="4" fontId="15" fillId="3" borderId="0" xfId="15" applyNumberFormat="1" applyFont="1" applyFill="1" applyBorder="1" applyAlignment="1">
      <alignment vertical="top"/>
    </xf>
    <xf numFmtId="4" fontId="15" fillId="3" borderId="13" xfId="15" applyNumberFormat="1" applyFont="1" applyFill="1" applyBorder="1" applyAlignment="1">
      <alignment horizontal="justify" vertical="top" wrapText="1"/>
    </xf>
    <xf numFmtId="4" fontId="15" fillId="3" borderId="0" xfId="15" applyNumberFormat="1" applyFont="1" applyFill="1" applyBorder="1" applyAlignment="1">
      <alignment horizontal="right" vertical="top"/>
    </xf>
    <xf numFmtId="4" fontId="15" fillId="0" borderId="29" xfId="15" applyNumberFormat="1" applyFont="1" applyFill="1" applyBorder="1" applyAlignment="1">
      <alignment horizontal="right" vertical="top" wrapText="1"/>
    </xf>
    <xf numFmtId="4" fontId="15" fillId="0" borderId="29" xfId="15" applyNumberFormat="1" applyFont="1" applyFill="1" applyBorder="1" applyAlignment="1">
      <alignment horizontal="center" vertical="top"/>
    </xf>
    <xf numFmtId="4" fontId="15" fillId="0" borderId="31" xfId="15" applyNumberFormat="1" applyFont="1" applyFill="1" applyBorder="1" applyAlignment="1">
      <alignment horizontal="right" vertical="top"/>
    </xf>
    <xf numFmtId="4" fontId="15" fillId="0" borderId="27" xfId="15" applyNumberFormat="1" applyFont="1" applyBorder="1" applyAlignment="1">
      <alignment horizontal="center" vertical="top"/>
    </xf>
    <xf numFmtId="164" fontId="15" fillId="0" borderId="29" xfId="38" applyFont="1" applyFill="1" applyBorder="1" applyAlignment="1">
      <alignment horizontal="right" vertical="top"/>
    </xf>
    <xf numFmtId="4" fontId="16" fillId="0" borderId="13" xfId="15" applyNumberFormat="1" applyFont="1" applyFill="1" applyBorder="1" applyAlignment="1">
      <alignment horizontal="justify" vertical="top" wrapText="1"/>
    </xf>
    <xf numFmtId="164" fontId="15" fillId="0" borderId="0" xfId="38" applyFont="1" applyBorder="1" applyAlignment="1">
      <alignment horizontal="right" vertical="top"/>
    </xf>
    <xf numFmtId="2" fontId="16" fillId="0" borderId="8" xfId="0" applyNumberFormat="1" applyFont="1" applyFill="1" applyBorder="1" applyAlignment="1"/>
    <xf numFmtId="4" fontId="19" fillId="0" borderId="13" xfId="0" applyNumberFormat="1" applyFont="1" applyFill="1" applyBorder="1" applyAlignment="1">
      <alignment vertical="center" wrapText="1"/>
    </xf>
    <xf numFmtId="4" fontId="15" fillId="3" borderId="11" xfId="0" applyNumberFormat="1" applyFont="1" applyFill="1" applyBorder="1" applyAlignment="1">
      <alignment horizontal="left" vertical="center"/>
    </xf>
    <xf numFmtId="4" fontId="15" fillId="3" borderId="13" xfId="0" applyNumberFormat="1" applyFont="1" applyFill="1" applyBorder="1" applyAlignment="1">
      <alignment horizontal="left" vertical="center" wrapText="1"/>
    </xf>
    <xf numFmtId="164" fontId="15" fillId="13" borderId="29" xfId="1" applyFont="1" applyFill="1" applyBorder="1" applyAlignment="1">
      <alignment horizontal="right" vertical="top"/>
    </xf>
    <xf numFmtId="164" fontId="15" fillId="13" borderId="30" xfId="1" applyFont="1" applyFill="1" applyBorder="1" applyAlignment="1">
      <alignment horizontal="right" vertical="top"/>
    </xf>
    <xf numFmtId="164" fontId="15" fillId="3" borderId="30" xfId="1" applyFont="1" applyFill="1" applyBorder="1" applyAlignment="1">
      <alignment horizontal="right" vertical="top"/>
    </xf>
    <xf numFmtId="4" fontId="19" fillId="0" borderId="37" xfId="0" applyNumberFormat="1" applyFont="1" applyFill="1" applyBorder="1" applyAlignment="1">
      <alignment horizontal="right" vertical="center" wrapText="1"/>
    </xf>
    <xf numFmtId="164" fontId="15" fillId="3" borderId="110" xfId="1" applyFont="1" applyFill="1" applyBorder="1" applyAlignment="1">
      <alignment horizontal="right" vertical="top"/>
    </xf>
    <xf numFmtId="4" fontId="15" fillId="0" borderId="29" xfId="0" applyNumberFormat="1" applyFont="1" applyFill="1" applyBorder="1" applyAlignment="1">
      <alignment vertical="center" wrapText="1"/>
    </xf>
    <xf numFmtId="164" fontId="15" fillId="13" borderId="14" xfId="1" applyFont="1" applyFill="1" applyBorder="1" applyAlignment="1">
      <alignment horizontal="right"/>
    </xf>
    <xf numFmtId="0" fontId="19" fillId="0" borderId="13" xfId="0" applyFont="1" applyBorder="1" applyAlignment="1">
      <alignment vertical="justify"/>
    </xf>
    <xf numFmtId="0" fontId="15" fillId="0" borderId="13" xfId="0" applyFont="1" applyBorder="1" applyAlignment="1">
      <alignment vertical="justify" wrapText="1"/>
    </xf>
    <xf numFmtId="0" fontId="15" fillId="0" borderId="13" xfId="0" applyFont="1" applyBorder="1" applyAlignment="1">
      <alignment vertical="justify"/>
    </xf>
    <xf numFmtId="4" fontId="15" fillId="0" borderId="112" xfId="0" applyNumberFormat="1" applyFont="1" applyFill="1" applyBorder="1" applyAlignment="1">
      <alignment vertical="center" wrapText="1"/>
    </xf>
    <xf numFmtId="4" fontId="15" fillId="0" borderId="111" xfId="0" applyNumberFormat="1" applyFont="1" applyFill="1" applyBorder="1" applyAlignment="1">
      <alignment horizontal="right" vertical="center"/>
    </xf>
    <xf numFmtId="164" fontId="15" fillId="3" borderId="14" xfId="38" applyFont="1" applyFill="1" applyBorder="1" applyAlignment="1">
      <alignment horizontal="right" vertical="center"/>
    </xf>
    <xf numFmtId="4" fontId="16" fillId="0" borderId="13" xfId="0" applyNumberFormat="1" applyFont="1" applyFill="1" applyBorder="1" applyAlignment="1">
      <alignment horizontal="center" vertical="top"/>
    </xf>
    <xf numFmtId="164" fontId="16" fillId="13" borderId="13" xfId="1" applyFont="1" applyFill="1" applyBorder="1" applyAlignment="1">
      <alignment horizontal="right" vertical="top"/>
    </xf>
    <xf numFmtId="164" fontId="16" fillId="13" borderId="14" xfId="1" applyFont="1" applyFill="1" applyBorder="1" applyAlignment="1">
      <alignment horizontal="right" vertical="top"/>
    </xf>
    <xf numFmtId="164" fontId="16" fillId="3" borderId="14" xfId="1" applyFont="1" applyFill="1" applyBorder="1" applyAlignment="1">
      <alignment horizontal="right" vertical="top"/>
    </xf>
    <xf numFmtId="4" fontId="16" fillId="0" borderId="15" xfId="0" applyNumberFormat="1" applyFont="1" applyFill="1" applyBorder="1" applyAlignment="1">
      <alignment horizontal="right" vertical="top"/>
    </xf>
    <xf numFmtId="4" fontId="16" fillId="0" borderId="27" xfId="0" applyNumberFormat="1" applyFont="1" applyBorder="1" applyAlignment="1">
      <alignment horizontal="center" vertical="center"/>
    </xf>
    <xf numFmtId="4" fontId="19" fillId="0" borderId="29" xfId="0" applyNumberFormat="1" applyFont="1" applyFill="1" applyBorder="1" applyAlignment="1">
      <alignment vertical="center" wrapText="1"/>
    </xf>
    <xf numFmtId="4" fontId="16" fillId="0" borderId="29" xfId="0" applyNumberFormat="1" applyFont="1" applyFill="1" applyBorder="1" applyAlignment="1">
      <alignment horizontal="center" vertical="top"/>
    </xf>
    <xf numFmtId="164" fontId="16" fillId="13" borderId="29" xfId="1" applyFont="1" applyFill="1" applyBorder="1" applyAlignment="1">
      <alignment horizontal="right" vertical="top"/>
    </xf>
    <xf numFmtId="164" fontId="16" fillId="13" borderId="30" xfId="1" applyFont="1" applyFill="1" applyBorder="1" applyAlignment="1">
      <alignment horizontal="right" vertical="top"/>
    </xf>
    <xf numFmtId="164" fontId="16" fillId="3" borderId="30" xfId="1" applyFont="1" applyFill="1" applyBorder="1" applyAlignment="1">
      <alignment horizontal="right" vertical="top"/>
    </xf>
    <xf numFmtId="4" fontId="16" fillId="0" borderId="31" xfId="0" applyNumberFormat="1" applyFont="1" applyFill="1" applyBorder="1" applyAlignment="1">
      <alignment horizontal="right" vertical="top"/>
    </xf>
    <xf numFmtId="4" fontId="15" fillId="0" borderId="113" xfId="0" applyNumberFormat="1" applyFont="1" applyBorder="1" applyAlignment="1">
      <alignment horizontal="center" vertical="top"/>
    </xf>
    <xf numFmtId="4" fontId="15" fillId="0" borderId="114" xfId="0" applyNumberFormat="1" applyFont="1" applyFill="1" applyBorder="1" applyAlignment="1">
      <alignment horizontal="center" vertical="top"/>
    </xf>
    <xf numFmtId="164" fontId="15" fillId="13" borderId="114" xfId="1" applyFont="1" applyFill="1" applyBorder="1" applyAlignment="1">
      <alignment horizontal="right" vertical="top"/>
    </xf>
    <xf numFmtId="164" fontId="15" fillId="13" borderId="115" xfId="1" applyFont="1" applyFill="1" applyBorder="1" applyAlignment="1">
      <alignment horizontal="right"/>
    </xf>
    <xf numFmtId="4" fontId="15" fillId="3" borderId="13" xfId="0" applyNumberFormat="1" applyFont="1" applyFill="1" applyBorder="1" applyAlignment="1">
      <alignment vertical="top" wrapText="1"/>
    </xf>
    <xf numFmtId="4" fontId="15" fillId="3" borderId="29" xfId="0" applyNumberFormat="1" applyFont="1" applyFill="1" applyBorder="1" applyAlignment="1">
      <alignment vertical="top" wrapText="1"/>
    </xf>
    <xf numFmtId="4" fontId="15" fillId="3" borderId="29" xfId="0" applyNumberFormat="1" applyFont="1" applyFill="1" applyBorder="1" applyAlignment="1">
      <alignment horizontal="right" vertical="top" wrapText="1"/>
    </xf>
    <xf numFmtId="4" fontId="15" fillId="3" borderId="29" xfId="0" applyNumberFormat="1" applyFont="1" applyFill="1" applyBorder="1" applyAlignment="1">
      <alignment horizontal="center" vertical="top"/>
    </xf>
    <xf numFmtId="4" fontId="16" fillId="0" borderId="10" xfId="0" applyNumberFormat="1" applyFont="1" applyFill="1" applyBorder="1" applyAlignment="1">
      <alignment horizontal="center" vertical="center"/>
    </xf>
    <xf numFmtId="0" fontId="13" fillId="0" borderId="12" xfId="0" applyFont="1" applyFill="1" applyBorder="1" applyAlignment="1">
      <alignment horizontal="justify" vertical="center"/>
    </xf>
    <xf numFmtId="164" fontId="13" fillId="0" borderId="12" xfId="2" applyFont="1" applyFill="1" applyBorder="1" applyAlignment="1">
      <alignment vertical="center"/>
    </xf>
    <xf numFmtId="0" fontId="13" fillId="3" borderId="12" xfId="0" applyFont="1" applyFill="1" applyBorder="1" applyAlignment="1">
      <alignment horizontal="justify" vertical="top"/>
    </xf>
    <xf numFmtId="164" fontId="13" fillId="3" borderId="12" xfId="2" applyFont="1" applyFill="1" applyBorder="1" applyAlignment="1"/>
    <xf numFmtId="4" fontId="19" fillId="3" borderId="8" xfId="0" applyNumberFormat="1" applyFont="1" applyFill="1" applyBorder="1" applyAlignment="1">
      <alignment horizontal="right" vertical="center" wrapText="1"/>
    </xf>
    <xf numFmtId="164" fontId="16" fillId="13" borderId="9" xfId="1" applyFont="1" applyFill="1" applyBorder="1" applyAlignment="1">
      <alignment horizontal="center"/>
    </xf>
    <xf numFmtId="164" fontId="66" fillId="3" borderId="72" xfId="37" applyNumberFormat="1" applyFont="1" applyFill="1" applyBorder="1"/>
    <xf numFmtId="164" fontId="66" fillId="3" borderId="72" xfId="37" applyNumberFormat="1" applyFont="1" applyFill="1" applyBorder="1" applyAlignment="1">
      <alignment horizontal="center"/>
    </xf>
    <xf numFmtId="0" fontId="12" fillId="3" borderId="0" xfId="40" applyFill="1"/>
    <xf numFmtId="0" fontId="12" fillId="3" borderId="0" xfId="40" applyFill="1" applyAlignment="1">
      <alignment horizontal="center"/>
    </xf>
    <xf numFmtId="4" fontId="75" fillId="3" borderId="0" xfId="0" applyNumberFormat="1" applyFont="1" applyFill="1" applyBorder="1" applyAlignment="1">
      <alignment vertical="top"/>
    </xf>
    <xf numFmtId="0" fontId="32" fillId="3" borderId="120" xfId="0" applyFont="1" applyFill="1" applyBorder="1" applyAlignment="1">
      <alignment horizontal="center" vertical="center"/>
    </xf>
    <xf numFmtId="2" fontId="32" fillId="3" borderId="118" xfId="0" applyNumberFormat="1" applyFont="1" applyFill="1" applyBorder="1" applyAlignment="1">
      <alignment vertical="center"/>
    </xf>
    <xf numFmtId="164" fontId="32" fillId="3" borderId="116" xfId="1" applyFont="1" applyFill="1" applyBorder="1" applyAlignment="1"/>
    <xf numFmtId="164" fontId="69" fillId="3" borderId="4" xfId="37" applyNumberFormat="1" applyFont="1" applyFill="1" applyBorder="1" applyAlignment="1">
      <alignment horizontal="center"/>
    </xf>
    <xf numFmtId="164" fontId="69" fillId="3" borderId="0" xfId="37" applyNumberFormat="1" applyFont="1" applyFill="1" applyBorder="1" applyAlignment="1">
      <alignment horizontal="center"/>
    </xf>
    <xf numFmtId="0" fontId="23" fillId="3" borderId="13" xfId="0" applyFont="1" applyFill="1" applyBorder="1" applyAlignment="1">
      <alignment vertical="top"/>
    </xf>
    <xf numFmtId="2" fontId="31" fillId="0" borderId="6" xfId="15" applyNumberFormat="1" applyFont="1" applyFill="1" applyBorder="1" applyAlignment="1">
      <alignment horizontal="center"/>
    </xf>
    <xf numFmtId="2" fontId="31" fillId="0" borderId="7" xfId="15" applyNumberFormat="1" applyFont="1" applyFill="1" applyBorder="1" applyAlignment="1">
      <alignment horizontal="center"/>
    </xf>
    <xf numFmtId="2" fontId="31" fillId="0" borderId="8" xfId="15" applyNumberFormat="1" applyFont="1" applyFill="1" applyBorder="1" applyAlignment="1">
      <alignment horizontal="center" vertical="center"/>
    </xf>
    <xf numFmtId="0" fontId="31" fillId="0" borderId="9" xfId="15" applyFont="1" applyFill="1" applyBorder="1" applyAlignment="1">
      <alignment horizontal="center" vertical="center"/>
    </xf>
    <xf numFmtId="164" fontId="31" fillId="0" borderId="8" xfId="43" applyFont="1" applyFill="1" applyBorder="1" applyAlignment="1">
      <alignment horizontal="center" vertical="center"/>
    </xf>
    <xf numFmtId="164" fontId="31" fillId="0" borderId="10" xfId="2" applyFont="1" applyFill="1" applyBorder="1" applyAlignment="1">
      <alignment horizontal="center" vertical="center"/>
    </xf>
    <xf numFmtId="4" fontId="32" fillId="0" borderId="0" xfId="15" applyNumberFormat="1" applyFont="1" applyFill="1" applyBorder="1" applyAlignment="1">
      <alignment vertical="center"/>
    </xf>
    <xf numFmtId="4" fontId="32" fillId="0" borderId="36" xfId="15" applyNumberFormat="1" applyFont="1" applyBorder="1" applyAlignment="1">
      <alignment horizontal="center" vertical="center"/>
    </xf>
    <xf numFmtId="4" fontId="32" fillId="0" borderId="37" xfId="15" applyNumberFormat="1" applyFont="1" applyFill="1" applyBorder="1" applyAlignment="1">
      <alignment horizontal="center" vertical="center"/>
    </xf>
    <xf numFmtId="164" fontId="32" fillId="0" borderId="37" xfId="43" applyFont="1" applyFill="1" applyBorder="1" applyAlignment="1">
      <alignment horizontal="center" vertical="center"/>
    </xf>
    <xf numFmtId="4" fontId="32" fillId="0" borderId="69" xfId="15" applyNumberFormat="1" applyFont="1" applyFill="1" applyBorder="1" applyAlignment="1">
      <alignment horizontal="center" vertical="center"/>
    </xf>
    <xf numFmtId="4" fontId="32" fillId="0" borderId="0" xfId="15" applyNumberFormat="1" applyFont="1" applyBorder="1" applyAlignment="1">
      <alignment vertical="center"/>
    </xf>
    <xf numFmtId="4" fontId="32" fillId="0" borderId="11" xfId="15" applyNumberFormat="1" applyFont="1" applyBorder="1" applyAlignment="1">
      <alignment horizontal="center" vertical="center"/>
    </xf>
    <xf numFmtId="164" fontId="32" fillId="0" borderId="13" xfId="43" applyFont="1" applyFill="1" applyBorder="1" applyAlignment="1">
      <alignment horizontal="center" vertical="center"/>
    </xf>
    <xf numFmtId="4" fontId="32" fillId="0" borderId="15" xfId="15" applyNumberFormat="1" applyFont="1" applyFill="1" applyBorder="1" applyAlignment="1">
      <alignment horizontal="center" vertical="center"/>
    </xf>
    <xf numFmtId="4" fontId="32" fillId="0" borderId="29" xfId="15" applyNumberFormat="1" applyFont="1" applyFill="1" applyBorder="1" applyAlignment="1">
      <alignment horizontal="center" vertical="center"/>
    </xf>
    <xf numFmtId="164" fontId="32" fillId="0" borderId="29" xfId="43" applyFont="1" applyFill="1" applyBorder="1" applyAlignment="1">
      <alignment horizontal="center" vertical="center"/>
    </xf>
    <xf numFmtId="4" fontId="32" fillId="0" borderId="31" xfId="15" applyNumberFormat="1" applyFont="1" applyFill="1" applyBorder="1" applyAlignment="1">
      <alignment horizontal="center" vertical="center"/>
    </xf>
    <xf numFmtId="4" fontId="32" fillId="0" borderId="11" xfId="15" applyNumberFormat="1" applyFont="1" applyBorder="1" applyAlignment="1">
      <alignment horizontal="center" vertical="top"/>
    </xf>
    <xf numFmtId="4" fontId="32" fillId="0" borderId="13" xfId="15" applyNumberFormat="1" applyFont="1" applyFill="1" applyBorder="1" applyAlignment="1">
      <alignment horizontal="justify" vertical="top" wrapText="1"/>
    </xf>
    <xf numFmtId="4" fontId="32" fillId="0" borderId="0" xfId="15" applyNumberFormat="1" applyFont="1" applyBorder="1" applyAlignment="1">
      <alignment vertical="top"/>
    </xf>
    <xf numFmtId="4" fontId="31" fillId="0" borderId="13" xfId="15" applyNumberFormat="1" applyFont="1" applyFill="1" applyBorder="1" applyAlignment="1">
      <alignment horizontal="justify" vertical="top" wrapText="1"/>
    </xf>
    <xf numFmtId="4" fontId="32" fillId="0" borderId="27" xfId="15" applyNumberFormat="1" applyFont="1" applyBorder="1" applyAlignment="1">
      <alignment horizontal="center" vertical="top"/>
    </xf>
    <xf numFmtId="4" fontId="32" fillId="0" borderId="36" xfId="15" applyNumberFormat="1" applyFont="1" applyBorder="1" applyAlignment="1">
      <alignment horizontal="center" vertical="top"/>
    </xf>
    <xf numFmtId="4" fontId="31" fillId="0" borderId="11" xfId="15" applyNumberFormat="1" applyFont="1" applyBorder="1" applyAlignment="1">
      <alignment horizontal="center" vertical="top"/>
    </xf>
    <xf numFmtId="4" fontId="32" fillId="0" borderId="29" xfId="15" applyNumberFormat="1" applyFont="1" applyFill="1" applyBorder="1" applyAlignment="1">
      <alignment horizontal="center" vertical="center" wrapText="1"/>
    </xf>
    <xf numFmtId="4" fontId="32" fillId="0" borderId="37" xfId="15" applyNumberFormat="1" applyFont="1" applyFill="1" applyBorder="1" applyAlignment="1">
      <alignment horizontal="center" vertical="center" wrapText="1"/>
    </xf>
    <xf numFmtId="4" fontId="18" fillId="0" borderId="13" xfId="15" applyNumberFormat="1" applyFont="1" applyFill="1" applyBorder="1" applyAlignment="1">
      <alignment horizontal="justify" vertical="top" wrapText="1"/>
    </xf>
    <xf numFmtId="4" fontId="31" fillId="0" borderId="29" xfId="15" applyNumberFormat="1" applyFont="1" applyFill="1" applyBorder="1" applyAlignment="1">
      <alignment horizontal="justify" vertical="top" wrapText="1"/>
    </xf>
    <xf numFmtId="4" fontId="32" fillId="0" borderId="37" xfId="15" applyNumberFormat="1" applyFont="1" applyFill="1" applyBorder="1" applyAlignment="1">
      <alignment horizontal="justify" vertical="top" wrapText="1"/>
    </xf>
    <xf numFmtId="0" fontId="32" fillId="0" borderId="14" xfId="30" applyFont="1" applyFill="1" applyBorder="1" applyAlignment="1">
      <alignment horizontal="left" vertical="top" wrapText="1"/>
    </xf>
    <xf numFmtId="165" fontId="32" fillId="0" borderId="13" xfId="30" applyNumberFormat="1" applyFont="1" applyFill="1" applyBorder="1" applyAlignment="1">
      <alignment horizontal="center" vertical="center" wrapText="1"/>
    </xf>
    <xf numFmtId="0" fontId="32" fillId="0" borderId="13" xfId="15" applyFont="1" applyFill="1" applyBorder="1" applyAlignment="1" applyProtection="1">
      <alignment horizontal="center" vertical="center" wrapText="1"/>
    </xf>
    <xf numFmtId="164" fontId="32" fillId="0" borderId="13" xfId="2" applyFont="1" applyFill="1" applyBorder="1" applyAlignment="1">
      <alignment horizontal="center" vertical="center" wrapText="1"/>
    </xf>
    <xf numFmtId="4" fontId="32" fillId="3" borderId="11" xfId="15" applyNumberFormat="1" applyFont="1" applyFill="1" applyBorder="1" applyAlignment="1">
      <alignment horizontal="center" vertical="top"/>
    </xf>
    <xf numFmtId="4" fontId="32" fillId="3" borderId="13" xfId="15" applyNumberFormat="1" applyFont="1" applyFill="1" applyBorder="1" applyAlignment="1">
      <alignment horizontal="left" vertical="top" wrapText="1"/>
    </xf>
    <xf numFmtId="4" fontId="32" fillId="3" borderId="13" xfId="15" applyNumberFormat="1" applyFont="1" applyFill="1" applyBorder="1" applyAlignment="1">
      <alignment horizontal="center" vertical="center" wrapText="1"/>
    </xf>
    <xf numFmtId="4" fontId="32" fillId="3" borderId="13" xfId="15" applyNumberFormat="1" applyFont="1" applyFill="1" applyBorder="1" applyAlignment="1">
      <alignment horizontal="center" vertical="center"/>
    </xf>
    <xf numFmtId="164" fontId="32" fillId="3" borderId="13" xfId="43" applyFont="1" applyFill="1" applyBorder="1" applyAlignment="1">
      <alignment horizontal="center" vertical="center"/>
    </xf>
    <xf numFmtId="4" fontId="32" fillId="3" borderId="15" xfId="15" applyNumberFormat="1" applyFont="1" applyFill="1" applyBorder="1" applyAlignment="1">
      <alignment horizontal="center" vertical="center"/>
    </xf>
    <xf numFmtId="4" fontId="32" fillId="0" borderId="0" xfId="15" applyNumberFormat="1" applyFont="1" applyBorder="1" applyAlignment="1">
      <alignment horizontal="center" vertical="top"/>
    </xf>
    <xf numFmtId="4" fontId="32" fillId="0" borderId="0" xfId="15" applyNumberFormat="1" applyFont="1" applyBorder="1" applyAlignment="1">
      <alignment horizontal="justify" vertical="top"/>
    </xf>
    <xf numFmtId="4" fontId="32" fillId="0" borderId="0" xfId="15" applyNumberFormat="1" applyFont="1" applyBorder="1" applyAlignment="1">
      <alignment horizontal="center" vertical="center"/>
    </xf>
    <xf numFmtId="164" fontId="32" fillId="0" borderId="0" xfId="43" applyFont="1" applyBorder="1" applyAlignment="1">
      <alignment horizontal="center" vertical="center"/>
    </xf>
    <xf numFmtId="4" fontId="32" fillId="13" borderId="37" xfId="15" applyNumberFormat="1" applyFont="1" applyFill="1" applyBorder="1" applyAlignment="1">
      <alignment horizontal="center" vertical="center"/>
    </xf>
    <xf numFmtId="4" fontId="32" fillId="13" borderId="13" xfId="15" applyNumberFormat="1" applyFont="1" applyFill="1" applyBorder="1" applyAlignment="1">
      <alignment horizontal="center" vertical="center"/>
    </xf>
    <xf numFmtId="4" fontId="32" fillId="13" borderId="29" xfId="15" applyNumberFormat="1" applyFont="1" applyFill="1" applyBorder="1" applyAlignment="1">
      <alignment horizontal="center" vertical="center"/>
    </xf>
    <xf numFmtId="0" fontId="32" fillId="13" borderId="13" xfId="15" applyFont="1" applyFill="1" applyBorder="1" applyAlignment="1" applyProtection="1">
      <alignment horizontal="center" vertical="center" wrapText="1"/>
    </xf>
    <xf numFmtId="4" fontId="32" fillId="13" borderId="0" xfId="15" applyNumberFormat="1" applyFont="1" applyFill="1" applyBorder="1" applyAlignment="1">
      <alignment horizontal="center" vertical="center"/>
    </xf>
    <xf numFmtId="164" fontId="12" fillId="3" borderId="0" xfId="1" applyFont="1" applyFill="1"/>
    <xf numFmtId="43" fontId="12" fillId="3" borderId="0" xfId="40" applyNumberFormat="1" applyFill="1"/>
    <xf numFmtId="164" fontId="12" fillId="3" borderId="0" xfId="40" applyNumberFormat="1" applyFill="1"/>
    <xf numFmtId="164" fontId="66" fillId="3" borderId="0" xfId="37" applyNumberFormat="1" applyFont="1" applyFill="1"/>
    <xf numFmtId="0" fontId="2" fillId="3" borderId="0" xfId="37" applyFill="1"/>
    <xf numFmtId="164" fontId="12" fillId="3" borderId="0" xfId="38" applyFont="1" applyFill="1"/>
    <xf numFmtId="0" fontId="12" fillId="3" borderId="0" xfId="40" applyFont="1" applyFill="1"/>
    <xf numFmtId="164" fontId="66" fillId="3" borderId="12" xfId="37" applyNumberFormat="1" applyFont="1" applyFill="1" applyBorder="1" applyAlignment="1">
      <alignment horizontal="center"/>
    </xf>
    <xf numFmtId="164" fontId="66" fillId="3" borderId="57" xfId="37" applyNumberFormat="1" applyFont="1" applyFill="1" applyBorder="1"/>
    <xf numFmtId="164" fontId="66" fillId="3" borderId="59" xfId="37" applyNumberFormat="1" applyFont="1" applyFill="1" applyBorder="1"/>
    <xf numFmtId="164" fontId="66" fillId="3" borderId="82" xfId="37" applyNumberFormat="1" applyFont="1" applyFill="1" applyBorder="1"/>
    <xf numFmtId="164" fontId="66" fillId="3" borderId="67" xfId="37" applyNumberFormat="1" applyFont="1" applyFill="1" applyBorder="1"/>
    <xf numFmtId="164" fontId="69" fillId="3" borderId="59" xfId="37" applyNumberFormat="1" applyFont="1" applyFill="1" applyBorder="1"/>
    <xf numFmtId="4" fontId="15" fillId="0" borderId="11" xfId="15" applyNumberFormat="1" applyFont="1" applyBorder="1" applyAlignment="1">
      <alignment horizontal="center" vertical="center"/>
    </xf>
    <xf numFmtId="4" fontId="15" fillId="3" borderId="27" xfId="15" applyNumberFormat="1" applyFont="1" applyFill="1" applyBorder="1" applyAlignment="1">
      <alignment horizontal="center" vertical="top"/>
    </xf>
    <xf numFmtId="2" fontId="76" fillId="3" borderId="6" xfId="0" applyNumberFormat="1" applyFont="1" applyFill="1" applyBorder="1" applyAlignment="1">
      <alignment horizontal="center"/>
    </xf>
    <xf numFmtId="2" fontId="76" fillId="3" borderId="7" xfId="0" applyNumberFormat="1" applyFont="1" applyFill="1" applyBorder="1" applyAlignment="1">
      <alignment horizontal="center"/>
    </xf>
    <xf numFmtId="164" fontId="76" fillId="3" borderId="8" xfId="38" applyFont="1" applyFill="1" applyBorder="1" applyAlignment="1">
      <alignment horizontal="center" vertical="center"/>
    </xf>
    <xf numFmtId="0" fontId="76" fillId="3" borderId="9" xfId="0" applyFont="1" applyFill="1" applyBorder="1" applyAlignment="1">
      <alignment horizontal="center" vertical="center"/>
    </xf>
    <xf numFmtId="0" fontId="77" fillId="13" borderId="9" xfId="0" applyFont="1" applyFill="1" applyBorder="1" applyAlignment="1">
      <alignment horizontal="center" vertical="center"/>
    </xf>
    <xf numFmtId="164" fontId="76" fillId="3" borderId="10" xfId="2" applyFont="1" applyFill="1" applyBorder="1" applyAlignment="1">
      <alignment horizontal="center" vertical="center"/>
    </xf>
    <xf numFmtId="4" fontId="78" fillId="3" borderId="0" xfId="0" applyNumberFormat="1" applyFont="1" applyFill="1" applyBorder="1" applyAlignment="1">
      <alignment vertical="center"/>
    </xf>
    <xf numFmtId="4" fontId="78" fillId="3" borderId="84" xfId="0" applyNumberFormat="1" applyFont="1" applyFill="1" applyBorder="1" applyAlignment="1">
      <alignment horizontal="center" vertical="top"/>
    </xf>
    <xf numFmtId="4" fontId="79" fillId="3" borderId="81" xfId="0" applyNumberFormat="1" applyFont="1" applyFill="1" applyBorder="1" applyAlignment="1">
      <alignment horizontal="justify" vertical="top" wrapText="1"/>
    </xf>
    <xf numFmtId="164" fontId="78" fillId="3" borderId="81" xfId="38" applyFont="1" applyFill="1" applyBorder="1" applyAlignment="1">
      <alignment horizontal="center" vertical="center" wrapText="1"/>
    </xf>
    <xf numFmtId="4" fontId="78" fillId="3" borderId="81" xfId="0" applyNumberFormat="1" applyFont="1" applyFill="1" applyBorder="1" applyAlignment="1">
      <alignment horizontal="center" vertical="center"/>
    </xf>
    <xf numFmtId="4" fontId="78" fillId="13" borderId="81" xfId="0" applyNumberFormat="1" applyFont="1" applyFill="1" applyBorder="1" applyAlignment="1">
      <alignment horizontal="center" vertical="center"/>
    </xf>
    <xf numFmtId="164" fontId="78" fillId="3" borderId="81" xfId="38" applyFont="1" applyFill="1" applyBorder="1" applyAlignment="1">
      <alignment horizontal="center" vertical="center"/>
    </xf>
    <xf numFmtId="4" fontId="78" fillId="3" borderId="85" xfId="0" applyNumberFormat="1" applyFont="1" applyFill="1" applyBorder="1" applyAlignment="1">
      <alignment horizontal="center" vertical="center"/>
    </xf>
    <xf numFmtId="4" fontId="78" fillId="3" borderId="0" xfId="0" applyNumberFormat="1" applyFont="1" applyFill="1" applyBorder="1" applyAlignment="1">
      <alignment vertical="top"/>
    </xf>
    <xf numFmtId="4" fontId="78" fillId="3" borderId="11" xfId="0" applyNumberFormat="1" applyFont="1" applyFill="1" applyBorder="1" applyAlignment="1">
      <alignment horizontal="center" vertical="top"/>
    </xf>
    <xf numFmtId="4" fontId="76" fillId="3" borderId="13" xfId="0" applyNumberFormat="1" applyFont="1" applyFill="1" applyBorder="1" applyAlignment="1">
      <alignment horizontal="justify" vertical="top" wrapText="1"/>
    </xf>
    <xf numFmtId="164" fontId="78" fillId="3" borderId="13" xfId="38" applyFont="1" applyFill="1" applyBorder="1" applyAlignment="1">
      <alignment horizontal="center" vertical="center" wrapText="1"/>
    </xf>
    <xf numFmtId="4" fontId="78" fillId="3" borderId="13" xfId="0" applyNumberFormat="1" applyFont="1" applyFill="1" applyBorder="1" applyAlignment="1">
      <alignment horizontal="center" vertical="center"/>
    </xf>
    <xf numFmtId="4" fontId="78" fillId="13" borderId="13" xfId="0" applyNumberFormat="1" applyFont="1" applyFill="1" applyBorder="1" applyAlignment="1">
      <alignment horizontal="center" vertical="center"/>
    </xf>
    <xf numFmtId="164" fontId="78" fillId="3" borderId="13" xfId="38" applyFont="1" applyFill="1" applyBorder="1" applyAlignment="1">
      <alignment horizontal="center" vertical="center"/>
    </xf>
    <xf numFmtId="4" fontId="78" fillId="3" borderId="15" xfId="0" applyNumberFormat="1" applyFont="1" applyFill="1" applyBorder="1" applyAlignment="1">
      <alignment horizontal="center" vertical="center"/>
    </xf>
    <xf numFmtId="4" fontId="79" fillId="3" borderId="13" xfId="0" applyNumberFormat="1" applyFont="1" applyFill="1" applyBorder="1" applyAlignment="1">
      <alignment horizontal="justify" vertical="top" wrapText="1"/>
    </xf>
    <xf numFmtId="4" fontId="78" fillId="3" borderId="13" xfId="0" applyNumberFormat="1" applyFont="1" applyFill="1" applyBorder="1" applyAlignment="1">
      <alignment horizontal="justify" vertical="top" wrapText="1"/>
    </xf>
    <xf numFmtId="4" fontId="78" fillId="3" borderId="13" xfId="0" applyNumberFormat="1" applyFont="1" applyFill="1" applyBorder="1" applyAlignment="1">
      <alignment horizontal="left" vertical="top" wrapText="1"/>
    </xf>
    <xf numFmtId="4" fontId="78" fillId="13" borderId="29" xfId="0" applyNumberFormat="1" applyFont="1" applyFill="1" applyBorder="1" applyAlignment="1">
      <alignment horizontal="center" vertical="center"/>
    </xf>
    <xf numFmtId="164" fontId="78" fillId="3" borderId="29" xfId="38" applyFont="1" applyFill="1" applyBorder="1" applyAlignment="1">
      <alignment horizontal="center" vertical="center"/>
    </xf>
    <xf numFmtId="4" fontId="78" fillId="3" borderId="31" xfId="0" applyNumberFormat="1" applyFont="1" applyFill="1" applyBorder="1" applyAlignment="1">
      <alignment horizontal="center" vertical="center"/>
    </xf>
    <xf numFmtId="0" fontId="76" fillId="3" borderId="13" xfId="0" applyFont="1" applyFill="1" applyBorder="1" applyAlignment="1">
      <alignment vertical="center"/>
    </xf>
    <xf numFmtId="4" fontId="78" fillId="3" borderId="13" xfId="0" applyNumberFormat="1" applyFont="1" applyFill="1" applyBorder="1" applyAlignment="1">
      <alignment horizontal="center" vertical="top"/>
    </xf>
    <xf numFmtId="4" fontId="78" fillId="3" borderId="0" xfId="0" applyNumberFormat="1" applyFont="1" applyFill="1" applyBorder="1" applyAlignment="1">
      <alignment vertical="top" wrapText="1"/>
    </xf>
    <xf numFmtId="4" fontId="76" fillId="3" borderId="13" xfId="0" applyNumberFormat="1" applyFont="1" applyFill="1" applyBorder="1" applyAlignment="1">
      <alignment horizontal="left" vertical="top" wrapText="1"/>
    </xf>
    <xf numFmtId="4" fontId="76" fillId="3" borderId="36" xfId="0" applyNumberFormat="1" applyFont="1" applyFill="1" applyBorder="1" applyAlignment="1">
      <alignment horizontal="center" vertical="top"/>
    </xf>
    <xf numFmtId="164" fontId="78" fillId="3" borderId="37" xfId="38" applyFont="1" applyFill="1" applyBorder="1" applyAlignment="1">
      <alignment horizontal="center" vertical="center"/>
    </xf>
    <xf numFmtId="164" fontId="78" fillId="3" borderId="14" xfId="1" applyFont="1" applyFill="1" applyBorder="1" applyAlignment="1">
      <alignment horizontal="left" vertical="center"/>
    </xf>
    <xf numFmtId="4" fontId="76" fillId="3" borderId="11" xfId="0" applyNumberFormat="1" applyFont="1" applyFill="1" applyBorder="1" applyAlignment="1">
      <alignment horizontal="center" vertical="top"/>
    </xf>
    <xf numFmtId="0" fontId="78" fillId="3" borderId="13" xfId="18" applyFont="1" applyFill="1" applyBorder="1" applyAlignment="1" applyProtection="1">
      <alignment vertical="center" wrapText="1"/>
    </xf>
    <xf numFmtId="164" fontId="78" fillId="3" borderId="13" xfId="38" applyFont="1" applyFill="1" applyBorder="1" applyAlignment="1">
      <alignment vertical="center"/>
    </xf>
    <xf numFmtId="164" fontId="78" fillId="3" borderId="13" xfId="2" applyFont="1" applyFill="1" applyBorder="1" applyAlignment="1">
      <alignment vertical="center"/>
    </xf>
    <xf numFmtId="164" fontId="78" fillId="3" borderId="15" xfId="2" applyFont="1" applyFill="1" applyBorder="1" applyAlignment="1">
      <alignment vertical="center"/>
    </xf>
    <xf numFmtId="43" fontId="80" fillId="3" borderId="24" xfId="0" applyNumberFormat="1" applyFont="1" applyFill="1" applyBorder="1" applyAlignment="1">
      <alignment horizontal="center" vertical="center"/>
    </xf>
    <xf numFmtId="4" fontId="76" fillId="3" borderId="14" xfId="0" applyNumberFormat="1" applyFont="1" applyFill="1" applyBorder="1" applyAlignment="1">
      <alignment vertical="top" wrapText="1"/>
    </xf>
    <xf numFmtId="4" fontId="78" fillId="3" borderId="13" xfId="0" applyNumberFormat="1" applyFont="1" applyFill="1" applyBorder="1" applyAlignment="1">
      <alignment wrapText="1"/>
    </xf>
    <xf numFmtId="4" fontId="78" fillId="13" borderId="13" xfId="0" applyNumberFormat="1" applyFont="1" applyFill="1" applyBorder="1" applyAlignment="1">
      <alignment horizontal="center" vertical="top"/>
    </xf>
    <xf numFmtId="2" fontId="78" fillId="3" borderId="13" xfId="42" applyNumberFormat="1" applyFont="1" applyFill="1" applyBorder="1" applyAlignment="1">
      <alignment horizontal="left" vertical="center" wrapText="1"/>
    </xf>
    <xf numFmtId="4" fontId="78" fillId="3" borderId="13" xfId="28" applyNumberFormat="1" applyFont="1" applyFill="1" applyBorder="1" applyAlignment="1">
      <alignment horizontal="center" vertical="center"/>
    </xf>
    <xf numFmtId="4" fontId="78" fillId="13" borderId="13" xfId="28" applyNumberFormat="1" applyFont="1" applyFill="1" applyBorder="1" applyAlignment="1">
      <alignment horizontal="center" vertical="center"/>
    </xf>
    <xf numFmtId="164" fontId="78" fillId="3" borderId="15" xfId="38" applyFont="1" applyFill="1" applyBorder="1" applyAlignment="1">
      <alignment horizontal="right" vertical="center"/>
    </xf>
    <xf numFmtId="4" fontId="76" fillId="3" borderId="79" xfId="28" applyNumberFormat="1" applyFont="1" applyFill="1" applyBorder="1" applyAlignment="1">
      <alignment vertical="center"/>
    </xf>
    <xf numFmtId="0" fontId="76" fillId="3" borderId="79" xfId="28" applyFont="1" applyFill="1" applyBorder="1" applyAlignment="1">
      <alignment vertical="center"/>
    </xf>
    <xf numFmtId="164" fontId="78" fillId="3" borderId="79" xfId="38" applyFont="1" applyFill="1" applyBorder="1" applyAlignment="1">
      <alignment vertical="center"/>
    </xf>
    <xf numFmtId="4" fontId="76" fillId="3" borderId="0" xfId="28" applyNumberFormat="1" applyFont="1" applyFill="1" applyBorder="1" applyAlignment="1">
      <alignment vertical="center"/>
    </xf>
    <xf numFmtId="0" fontId="76" fillId="3" borderId="0" xfId="28" applyFont="1" applyFill="1" applyBorder="1" applyAlignment="1">
      <alignment vertical="center"/>
    </xf>
    <xf numFmtId="164" fontId="78" fillId="3" borderId="0" xfId="38" applyFont="1" applyFill="1" applyBorder="1" applyAlignment="1">
      <alignment vertical="center"/>
    </xf>
    <xf numFmtId="0" fontId="78" fillId="3" borderId="0" xfId="28" applyFont="1" applyFill="1" applyBorder="1" applyAlignment="1">
      <alignment vertical="center"/>
    </xf>
    <xf numFmtId="2" fontId="78" fillId="3" borderId="13" xfId="42" applyNumberFormat="1" applyFont="1" applyFill="1" applyBorder="1" applyAlignment="1">
      <alignment horizontal="left" vertical="top" wrapText="1"/>
    </xf>
    <xf numFmtId="4" fontId="78" fillId="3" borderId="70" xfId="0" applyNumberFormat="1" applyFont="1" applyFill="1" applyBorder="1" applyAlignment="1">
      <alignment horizontal="center" vertical="center"/>
    </xf>
    <xf numFmtId="4" fontId="76" fillId="3" borderId="70" xfId="0" applyNumberFormat="1" applyFont="1" applyFill="1" applyBorder="1" applyAlignment="1">
      <alignment horizontal="center" vertical="center"/>
    </xf>
    <xf numFmtId="4" fontId="78" fillId="3" borderId="0" xfId="0" applyNumberFormat="1" applyFont="1" applyFill="1" applyBorder="1" applyAlignment="1">
      <alignment horizontal="center" vertical="top"/>
    </xf>
    <xf numFmtId="4" fontId="78" fillId="3" borderId="0" xfId="0" applyNumberFormat="1" applyFont="1" applyFill="1" applyBorder="1" applyAlignment="1">
      <alignment horizontal="justify" vertical="top"/>
    </xf>
    <xf numFmtId="164" fontId="78" fillId="3" borderId="0" xfId="38" applyFont="1" applyFill="1" applyBorder="1" applyAlignment="1">
      <alignment horizontal="center" vertical="center"/>
    </xf>
    <xf numFmtId="4" fontId="78" fillId="3" borderId="0" xfId="0" applyNumberFormat="1" applyFont="1" applyFill="1" applyBorder="1" applyAlignment="1">
      <alignment horizontal="center" vertical="center"/>
    </xf>
    <xf numFmtId="4" fontId="78" fillId="13" borderId="0" xfId="0" applyNumberFormat="1" applyFont="1" applyFill="1" applyBorder="1" applyAlignment="1">
      <alignment horizontal="center" vertical="center"/>
    </xf>
    <xf numFmtId="4" fontId="32" fillId="0" borderId="13" xfId="15" applyNumberFormat="1" applyFont="1" applyFill="1" applyBorder="1" applyAlignment="1">
      <alignment horizontal="justify" vertical="center" wrapText="1"/>
    </xf>
    <xf numFmtId="164" fontId="15" fillId="13" borderId="117" xfId="1" applyFont="1" applyFill="1" applyBorder="1" applyAlignment="1">
      <alignment horizontal="right" vertical="center"/>
    </xf>
    <xf numFmtId="164" fontId="32" fillId="13" borderId="13" xfId="1" applyFont="1" applyFill="1" applyBorder="1" applyAlignment="1" applyProtection="1">
      <alignment horizontal="center" vertical="center" wrapText="1"/>
    </xf>
    <xf numFmtId="164" fontId="23" fillId="13" borderId="9" xfId="1" applyFont="1" applyFill="1" applyBorder="1" applyAlignment="1">
      <alignment horizontal="center" vertical="center"/>
    </xf>
    <xf numFmtId="164" fontId="32" fillId="13" borderId="37" xfId="1" applyFont="1" applyFill="1" applyBorder="1" applyAlignment="1">
      <alignment horizontal="center" vertical="center"/>
    </xf>
    <xf numFmtId="164" fontId="32" fillId="13" borderId="13" xfId="1" applyFont="1" applyFill="1" applyBorder="1" applyAlignment="1">
      <alignment horizontal="center" vertical="center"/>
    </xf>
    <xf numFmtId="164" fontId="32" fillId="13" borderId="29" xfId="1" applyFont="1" applyFill="1" applyBorder="1" applyAlignment="1">
      <alignment horizontal="center" vertical="center"/>
    </xf>
    <xf numFmtId="164" fontId="32" fillId="13" borderId="0" xfId="1" applyFont="1" applyFill="1" applyBorder="1" applyAlignment="1">
      <alignment horizontal="center" vertical="center"/>
    </xf>
    <xf numFmtId="2" fontId="16" fillId="0" borderId="7" xfId="15" applyNumberFormat="1" applyFont="1" applyFill="1" applyBorder="1" applyAlignment="1">
      <alignment horizontal="center" vertical="center" wrapText="1"/>
    </xf>
    <xf numFmtId="2" fontId="16" fillId="0" borderId="8" xfId="15" applyNumberFormat="1" applyFont="1" applyFill="1" applyBorder="1" applyAlignment="1">
      <alignment horizontal="center" vertical="center"/>
    </xf>
    <xf numFmtId="0" fontId="16" fillId="0" borderId="9" xfId="15" applyFont="1" applyFill="1" applyBorder="1" applyAlignment="1">
      <alignment horizontal="center" vertical="center"/>
    </xf>
    <xf numFmtId="0" fontId="15" fillId="0" borderId="13" xfId="15" applyFont="1" applyFill="1" applyBorder="1" applyAlignment="1">
      <alignment horizontal="left" vertical="center" wrapText="1"/>
    </xf>
    <xf numFmtId="2" fontId="15" fillId="0" borderId="13" xfId="2" applyNumberFormat="1" applyFont="1" applyFill="1" applyBorder="1" applyAlignment="1">
      <alignment horizontal="center" vertical="center"/>
    </xf>
    <xf numFmtId="164" fontId="16" fillId="0" borderId="6" xfId="38" applyFont="1" applyFill="1" applyBorder="1" applyAlignment="1">
      <alignment horizontal="left" vertical="center"/>
    </xf>
    <xf numFmtId="2" fontId="16" fillId="0" borderId="7" xfId="15" applyNumberFormat="1" applyFont="1" applyFill="1" applyBorder="1" applyAlignment="1">
      <alignment horizontal="left" vertical="center"/>
    </xf>
    <xf numFmtId="4" fontId="15" fillId="0" borderId="0" xfId="15" applyNumberFormat="1" applyFont="1" applyFill="1" applyBorder="1" applyAlignment="1">
      <alignment horizontal="left" vertical="center"/>
    </xf>
    <xf numFmtId="164" fontId="15" fillId="0" borderId="11" xfId="38" applyFont="1" applyFill="1" applyBorder="1" applyAlignment="1">
      <alignment horizontal="left" vertical="center"/>
    </xf>
    <xf numFmtId="0" fontId="15" fillId="0" borderId="13" xfId="15" applyFont="1" applyFill="1" applyBorder="1" applyAlignment="1">
      <alignment horizontal="left" vertical="center"/>
    </xf>
    <xf numFmtId="164" fontId="15" fillId="0" borderId="36" xfId="38" applyFont="1" applyFill="1" applyBorder="1" applyAlignment="1">
      <alignment horizontal="left" vertical="center"/>
    </xf>
    <xf numFmtId="0" fontId="19" fillId="0" borderId="37" xfId="15" applyFont="1" applyFill="1" applyBorder="1" applyAlignment="1">
      <alignment horizontal="left" vertical="center"/>
    </xf>
    <xf numFmtId="164" fontId="16" fillId="0" borderId="11" xfId="38" applyFont="1" applyFill="1" applyBorder="1" applyAlignment="1">
      <alignment horizontal="left" vertical="center"/>
    </xf>
    <xf numFmtId="0" fontId="19" fillId="0" borderId="13" xfId="15" applyFont="1" applyFill="1" applyBorder="1" applyAlignment="1">
      <alignment horizontal="left" vertical="center"/>
    </xf>
    <xf numFmtId="0" fontId="19" fillId="0" borderId="13" xfId="15" applyFont="1" applyFill="1" applyBorder="1" applyAlignment="1">
      <alignment horizontal="left" vertical="center" wrapText="1"/>
    </xf>
    <xf numFmtId="164" fontId="15" fillId="0" borderId="24" xfId="38" applyFont="1" applyFill="1" applyBorder="1" applyAlignment="1">
      <alignment horizontal="left" vertical="center"/>
    </xf>
    <xf numFmtId="164" fontId="15" fillId="0" borderId="6" xfId="38" applyFont="1" applyFill="1" applyBorder="1" applyAlignment="1">
      <alignment horizontal="left" vertical="center"/>
    </xf>
    <xf numFmtId="0" fontId="16" fillId="0" borderId="8" xfId="15" applyFont="1" applyFill="1" applyBorder="1" applyAlignment="1">
      <alignment horizontal="left" vertical="center" wrapText="1"/>
    </xf>
    <xf numFmtId="164" fontId="15" fillId="0" borderId="0" xfId="38" applyFont="1" applyBorder="1" applyAlignment="1">
      <alignment horizontal="left" vertical="center"/>
    </xf>
    <xf numFmtId="0" fontId="15" fillId="0" borderId="0" xfId="15" applyFont="1" applyBorder="1" applyAlignment="1">
      <alignment horizontal="left" vertical="center"/>
    </xf>
    <xf numFmtId="4" fontId="15" fillId="0" borderId="0" xfId="15" applyNumberFormat="1" applyFont="1" applyBorder="1" applyAlignment="1">
      <alignment horizontal="left" vertical="center"/>
    </xf>
    <xf numFmtId="0" fontId="15" fillId="0" borderId="37" xfId="15" applyFont="1" applyFill="1" applyBorder="1" applyAlignment="1">
      <alignment horizontal="center" vertical="center"/>
    </xf>
    <xf numFmtId="0" fontId="19" fillId="0" borderId="13" xfId="15" applyFont="1" applyFill="1" applyBorder="1" applyAlignment="1">
      <alignment horizontal="center" vertical="center"/>
    </xf>
    <xf numFmtId="0" fontId="19" fillId="0" borderId="13" xfId="15" applyFont="1" applyFill="1" applyBorder="1" applyAlignment="1">
      <alignment horizontal="center" vertical="center" wrapText="1"/>
    </xf>
    <xf numFmtId="0" fontId="15" fillId="0" borderId="8" xfId="15" applyFont="1" applyFill="1" applyBorder="1" applyAlignment="1">
      <alignment horizontal="center" vertical="center"/>
    </xf>
    <xf numFmtId="0" fontId="15" fillId="0" borderId="0" xfId="15" applyFont="1" applyBorder="1" applyAlignment="1">
      <alignment horizontal="center" vertical="center"/>
    </xf>
    <xf numFmtId="4" fontId="15" fillId="0" borderId="0" xfId="15" applyNumberFormat="1" applyFont="1" applyBorder="1" applyAlignment="1">
      <alignment horizontal="center" vertical="center"/>
    </xf>
    <xf numFmtId="2" fontId="15" fillId="0" borderId="37" xfId="15" applyNumberFormat="1" applyFont="1" applyFill="1" applyBorder="1" applyAlignment="1">
      <alignment horizontal="center" vertical="center"/>
    </xf>
    <xf numFmtId="2" fontId="15" fillId="0" borderId="13" xfId="15" applyNumberFormat="1" applyFont="1" applyFill="1" applyBorder="1" applyAlignment="1">
      <alignment horizontal="center" vertical="center"/>
    </xf>
    <xf numFmtId="2" fontId="15" fillId="0" borderId="8" xfId="2" applyNumberFormat="1" applyFont="1" applyFill="1" applyBorder="1" applyAlignment="1">
      <alignment horizontal="center" vertical="center"/>
    </xf>
    <xf numFmtId="2" fontId="15" fillId="0" borderId="0" xfId="15" applyNumberFormat="1" applyFont="1" applyBorder="1" applyAlignment="1">
      <alignment horizontal="center" vertical="center"/>
    </xf>
    <xf numFmtId="0" fontId="19" fillId="0" borderId="37" xfId="15" applyFont="1" applyFill="1" applyBorder="1" applyAlignment="1">
      <alignment horizontal="center" vertical="center"/>
    </xf>
    <xf numFmtId="0" fontId="16" fillId="0" borderId="8" xfId="15" applyFont="1" applyFill="1" applyBorder="1" applyAlignment="1">
      <alignment horizontal="center" vertical="center" wrapText="1"/>
    </xf>
    <xf numFmtId="164" fontId="23" fillId="13" borderId="9" xfId="1" applyFont="1" applyFill="1" applyBorder="1" applyAlignment="1">
      <alignment horizontal="left" vertical="center"/>
    </xf>
    <xf numFmtId="164" fontId="16" fillId="0" borderId="10" xfId="1" applyFont="1" applyFill="1" applyBorder="1" applyAlignment="1">
      <alignment horizontal="center" vertical="center"/>
    </xf>
    <xf numFmtId="164" fontId="15" fillId="13" borderId="37" xfId="1" applyFont="1" applyFill="1" applyBorder="1" applyAlignment="1">
      <alignment horizontal="left" vertical="center"/>
    </xf>
    <xf numFmtId="164" fontId="15" fillId="0" borderId="69" xfId="1" applyFont="1" applyFill="1" applyBorder="1" applyAlignment="1">
      <alignment horizontal="center" vertical="center"/>
    </xf>
    <xf numFmtId="164" fontId="15" fillId="13" borderId="13" xfId="1" applyFont="1" applyFill="1" applyBorder="1" applyAlignment="1">
      <alignment horizontal="left" vertical="center"/>
    </xf>
    <xf numFmtId="164" fontId="15" fillId="0" borderId="15" xfId="1" applyFont="1" applyFill="1" applyBorder="1" applyAlignment="1">
      <alignment horizontal="center" vertical="center"/>
    </xf>
    <xf numFmtId="164" fontId="19" fillId="13" borderId="13" xfId="1" applyFont="1" applyFill="1" applyBorder="1" applyAlignment="1">
      <alignment horizontal="left" vertical="center"/>
    </xf>
    <xf numFmtId="164" fontId="19" fillId="13" borderId="13" xfId="1" applyFont="1" applyFill="1" applyBorder="1" applyAlignment="1">
      <alignment horizontal="center" vertical="center"/>
    </xf>
    <xf numFmtId="164" fontId="19" fillId="0" borderId="13" xfId="1" applyFont="1" applyFill="1" applyBorder="1" applyAlignment="1">
      <alignment horizontal="center" vertical="center"/>
    </xf>
    <xf numFmtId="164" fontId="15" fillId="13" borderId="13" xfId="1" applyFont="1" applyFill="1" applyBorder="1" applyAlignment="1">
      <alignment horizontal="left" vertical="center" wrapText="1"/>
    </xf>
    <xf numFmtId="164" fontId="15" fillId="13" borderId="13" xfId="1" applyFont="1" applyFill="1" applyBorder="1" applyAlignment="1">
      <alignment horizontal="center" vertical="center" wrapText="1"/>
    </xf>
    <xf numFmtId="164" fontId="15" fillId="0" borderId="13" xfId="1" applyFont="1" applyFill="1" applyBorder="1" applyAlignment="1">
      <alignment horizontal="center" vertical="center" wrapText="1"/>
    </xf>
    <xf numFmtId="164" fontId="19" fillId="13" borderId="13" xfId="1" applyFont="1" applyFill="1" applyBorder="1" applyAlignment="1">
      <alignment horizontal="left" vertical="center" wrapText="1"/>
    </xf>
    <xf numFmtId="164" fontId="19" fillId="13" borderId="13" xfId="1" applyFont="1" applyFill="1" applyBorder="1" applyAlignment="1">
      <alignment horizontal="center" vertical="center" wrapText="1"/>
    </xf>
    <xf numFmtId="164" fontId="19" fillId="0" borderId="13" xfId="1" applyFont="1" applyFill="1" applyBorder="1" applyAlignment="1">
      <alignment horizontal="center" vertical="center" wrapText="1"/>
    </xf>
    <xf numFmtId="164" fontId="15" fillId="13" borderId="8" xfId="1" applyFont="1" applyFill="1" applyBorder="1" applyAlignment="1">
      <alignment horizontal="left" vertical="center"/>
    </xf>
    <xf numFmtId="164" fontId="15" fillId="13" borderId="8" xfId="1" applyFont="1" applyFill="1" applyBorder="1" applyAlignment="1">
      <alignment horizontal="center" vertical="center"/>
    </xf>
    <xf numFmtId="164" fontId="15" fillId="0" borderId="8" xfId="1" applyFont="1" applyFill="1" applyBorder="1" applyAlignment="1">
      <alignment horizontal="center" vertical="center"/>
    </xf>
    <xf numFmtId="164" fontId="15" fillId="0" borderId="10" xfId="1" applyFont="1" applyFill="1" applyBorder="1" applyAlignment="1">
      <alignment horizontal="center" vertical="center"/>
    </xf>
    <xf numFmtId="164" fontId="15" fillId="13" borderId="0" xfId="1" applyFont="1" applyFill="1" applyBorder="1" applyAlignment="1">
      <alignment horizontal="left" vertical="center"/>
    </xf>
    <xf numFmtId="164" fontId="15" fillId="13" borderId="0" xfId="1" applyFont="1" applyFill="1" applyBorder="1" applyAlignment="1">
      <alignment horizontal="center" vertical="center"/>
    </xf>
    <xf numFmtId="164" fontId="19" fillId="0" borderId="15" xfId="1" applyFont="1" applyFill="1" applyBorder="1" applyAlignment="1">
      <alignment horizontal="center" vertical="center"/>
    </xf>
    <xf numFmtId="164" fontId="15" fillId="0" borderId="15" xfId="1" applyFont="1" applyFill="1" applyBorder="1" applyAlignment="1">
      <alignment horizontal="center" vertical="center" wrapText="1"/>
    </xf>
    <xf numFmtId="164" fontId="19" fillId="0" borderId="15" xfId="1" applyFont="1" applyFill="1" applyBorder="1" applyAlignment="1">
      <alignment horizontal="center" vertical="center" wrapText="1"/>
    </xf>
    <xf numFmtId="4" fontId="15" fillId="0" borderId="13" xfId="15" applyNumberFormat="1" applyFont="1" applyFill="1" applyBorder="1" applyAlignment="1">
      <alignment horizontal="justify" vertical="center" wrapText="1"/>
    </xf>
    <xf numFmtId="4" fontId="15" fillId="0" borderId="13" xfId="15" applyNumberFormat="1" applyFont="1" applyFill="1" applyBorder="1" applyAlignment="1">
      <alignment horizontal="right" vertical="center" wrapText="1"/>
    </xf>
    <xf numFmtId="4" fontId="15" fillId="0" borderId="13" xfId="15" applyNumberFormat="1" applyFont="1" applyFill="1" applyBorder="1" applyAlignment="1">
      <alignment horizontal="center" vertical="center"/>
    </xf>
    <xf numFmtId="4" fontId="16" fillId="0" borderId="29" xfId="15" applyNumberFormat="1" applyFont="1" applyFill="1" applyBorder="1" applyAlignment="1">
      <alignment horizontal="justify" vertical="top" wrapText="1"/>
    </xf>
    <xf numFmtId="4" fontId="15" fillId="0" borderId="91" xfId="15" applyNumberFormat="1" applyFont="1" applyBorder="1" applyAlignment="1">
      <alignment horizontal="center" vertical="center"/>
    </xf>
    <xf numFmtId="4" fontId="16" fillId="0" borderId="91" xfId="15" applyNumberFormat="1" applyFont="1" applyFill="1" applyBorder="1" applyAlignment="1">
      <alignment horizontal="right" vertical="top"/>
    </xf>
    <xf numFmtId="4" fontId="15" fillId="0" borderId="29" xfId="0" applyNumberFormat="1" applyFont="1" applyFill="1" applyBorder="1" applyAlignment="1">
      <alignment vertical="top" wrapText="1"/>
    </xf>
    <xf numFmtId="164" fontId="15" fillId="13" borderId="29" xfId="1" applyFont="1" applyFill="1" applyBorder="1" applyAlignment="1">
      <alignment horizontal="right" vertical="center"/>
    </xf>
    <xf numFmtId="164" fontId="15" fillId="13" borderId="30" xfId="1" applyFont="1" applyFill="1" applyBorder="1" applyAlignment="1">
      <alignment horizontal="right" vertical="center"/>
    </xf>
    <xf numFmtId="164" fontId="15" fillId="3" borderId="30" xfId="38" applyFont="1" applyFill="1" applyBorder="1" applyAlignment="1">
      <alignment horizontal="right" vertical="center"/>
    </xf>
    <xf numFmtId="4" fontId="15" fillId="0" borderId="31" xfId="0" applyNumberFormat="1" applyFont="1" applyFill="1" applyBorder="1" applyAlignment="1">
      <alignment horizontal="right" vertical="center"/>
    </xf>
    <xf numFmtId="4" fontId="15" fillId="2" borderId="0" xfId="15" applyNumberFormat="1" applyFont="1" applyFill="1" applyBorder="1" applyAlignment="1">
      <alignment horizontal="justify" vertical="top"/>
    </xf>
    <xf numFmtId="167" fontId="31" fillId="2" borderId="68" xfId="2" applyNumberFormat="1" applyFont="1" applyFill="1" applyBorder="1" applyAlignment="1">
      <alignment vertical="center" wrapText="1"/>
    </xf>
    <xf numFmtId="0" fontId="13" fillId="2" borderId="0" xfId="15" applyFont="1" applyFill="1" applyBorder="1" applyAlignment="1">
      <alignment horizontal="right" vertical="center" wrapText="1"/>
    </xf>
    <xf numFmtId="4" fontId="15" fillId="2" borderId="0" xfId="0" applyNumberFormat="1" applyFont="1" applyFill="1" applyBorder="1" applyAlignment="1">
      <alignment horizontal="justify" vertical="top"/>
    </xf>
    <xf numFmtId="164" fontId="15" fillId="0" borderId="13" xfId="1" applyFont="1" applyFill="1" applyBorder="1" applyAlignment="1">
      <alignment horizontal="right" vertical="center"/>
    </xf>
    <xf numFmtId="164" fontId="15" fillId="3" borderId="13" xfId="1" applyFont="1" applyFill="1" applyBorder="1" applyAlignment="1">
      <alignment horizontal="left" vertical="center"/>
    </xf>
    <xf numFmtId="2" fontId="16" fillId="3" borderId="6" xfId="0" applyNumberFormat="1" applyFont="1" applyFill="1" applyBorder="1" applyAlignment="1">
      <alignment horizontal="center"/>
    </xf>
    <xf numFmtId="2" fontId="16" fillId="3" borderId="7" xfId="0" applyNumberFormat="1" applyFont="1" applyFill="1" applyBorder="1" applyAlignment="1">
      <alignment horizontal="center"/>
    </xf>
    <xf numFmtId="2" fontId="16" fillId="3" borderId="8" xfId="0" applyNumberFormat="1" applyFont="1" applyFill="1" applyBorder="1" applyAlignment="1">
      <alignment horizontal="center"/>
    </xf>
    <xf numFmtId="164" fontId="16" fillId="3" borderId="8" xfId="1" applyFont="1" applyFill="1" applyBorder="1" applyAlignment="1">
      <alignment horizontal="center" vertical="center"/>
    </xf>
    <xf numFmtId="164" fontId="16" fillId="3" borderId="10" xfId="2" applyFont="1" applyFill="1" applyBorder="1" applyAlignment="1">
      <alignment horizontal="center"/>
    </xf>
    <xf numFmtId="4" fontId="15" fillId="3" borderId="36" xfId="0" applyNumberFormat="1" applyFont="1" applyFill="1" applyBorder="1" applyAlignment="1">
      <alignment horizontal="center" vertical="center"/>
    </xf>
    <xf numFmtId="4" fontId="18" fillId="3" borderId="37" xfId="0" applyNumberFormat="1" applyFont="1" applyFill="1" applyBorder="1" applyAlignment="1">
      <alignment horizontal="justify" vertical="center" wrapText="1"/>
    </xf>
    <xf numFmtId="4" fontId="18" fillId="3" borderId="37" xfId="0" applyNumberFormat="1" applyFont="1" applyFill="1" applyBorder="1" applyAlignment="1">
      <alignment horizontal="right" vertical="center" wrapText="1"/>
    </xf>
    <xf numFmtId="4" fontId="15" fillId="3" borderId="37" xfId="0" applyNumberFormat="1" applyFont="1" applyFill="1" applyBorder="1" applyAlignment="1">
      <alignment horizontal="center" vertical="top"/>
    </xf>
    <xf numFmtId="164" fontId="15" fillId="3" borderId="37" xfId="1" applyFont="1" applyFill="1" applyBorder="1" applyAlignment="1">
      <alignment horizontal="right" vertical="top"/>
    </xf>
    <xf numFmtId="4" fontId="15" fillId="3" borderId="69" xfId="0" applyNumberFormat="1" applyFont="1" applyFill="1" applyBorder="1" applyAlignment="1">
      <alignment horizontal="right" vertical="top"/>
    </xf>
    <xf numFmtId="4" fontId="52" fillId="3" borderId="13" xfId="0" applyNumberFormat="1" applyFont="1" applyFill="1" applyBorder="1" applyAlignment="1">
      <alignment horizontal="justify" vertical="center" wrapText="1"/>
    </xf>
    <xf numFmtId="4" fontId="31" fillId="3" borderId="13" xfId="0" applyNumberFormat="1" applyFont="1" applyFill="1" applyBorder="1" applyAlignment="1">
      <alignment horizontal="left" vertical="center" wrapText="1"/>
    </xf>
    <xf numFmtId="0" fontId="13" fillId="3" borderId="13" xfId="0" applyFont="1" applyFill="1" applyBorder="1" applyAlignment="1">
      <alignment horizontal="justify" vertical="top"/>
    </xf>
    <xf numFmtId="4" fontId="15" fillId="3" borderId="6" xfId="0" applyNumberFormat="1" applyFont="1" applyFill="1" applyBorder="1" applyAlignment="1">
      <alignment horizontal="center" vertical="center"/>
    </xf>
    <xf numFmtId="4" fontId="16" fillId="3" borderId="8" xfId="0" applyNumberFormat="1" applyFont="1" applyFill="1" applyBorder="1" applyAlignment="1">
      <alignment horizontal="justify" vertical="center" wrapText="1"/>
    </xf>
    <xf numFmtId="4" fontId="15" fillId="3" borderId="8" xfId="0" applyNumberFormat="1" applyFont="1" applyFill="1" applyBorder="1" applyAlignment="1">
      <alignment horizontal="center" vertical="top"/>
    </xf>
    <xf numFmtId="164" fontId="15" fillId="3" borderId="8" xfId="1" applyFont="1" applyFill="1" applyBorder="1" applyAlignment="1">
      <alignment horizontal="right" vertical="top"/>
    </xf>
    <xf numFmtId="4" fontId="16" fillId="3" borderId="10" xfId="0" applyNumberFormat="1" applyFont="1" applyFill="1" applyBorder="1" applyAlignment="1">
      <alignment horizontal="right" vertical="top"/>
    </xf>
    <xf numFmtId="4" fontId="15" fillId="3" borderId="0" xfId="0" applyNumberFormat="1" applyFont="1" applyFill="1" applyBorder="1" applyAlignment="1">
      <alignment horizontal="center" vertical="top"/>
    </xf>
    <xf numFmtId="4" fontId="15" fillId="3" borderId="0" xfId="0" applyNumberFormat="1" applyFont="1" applyFill="1" applyBorder="1" applyAlignment="1">
      <alignment horizontal="justify" vertical="top"/>
    </xf>
    <xf numFmtId="164" fontId="15" fillId="3" borderId="13" xfId="1" applyFont="1" applyFill="1" applyBorder="1" applyAlignment="1">
      <alignment horizontal="right" vertical="center"/>
    </xf>
    <xf numFmtId="164" fontId="15" fillId="3" borderId="29" xfId="1" applyFont="1" applyFill="1" applyBorder="1" applyAlignment="1">
      <alignment horizontal="right" vertical="top"/>
    </xf>
    <xf numFmtId="10" fontId="32" fillId="3" borderId="0" xfId="21" applyNumberFormat="1" applyFont="1" applyFill="1" applyBorder="1" applyAlignment="1">
      <alignment vertical="top"/>
    </xf>
    <xf numFmtId="2" fontId="16" fillId="3" borderId="6" xfId="15" applyNumberFormat="1" applyFont="1" applyFill="1" applyBorder="1" applyAlignment="1">
      <alignment horizontal="center"/>
    </xf>
    <xf numFmtId="2" fontId="16" fillId="3" borderId="7" xfId="15" applyNumberFormat="1" applyFont="1" applyFill="1" applyBorder="1" applyAlignment="1">
      <alignment horizontal="center"/>
    </xf>
    <xf numFmtId="2" fontId="16" fillId="3" borderId="8" xfId="15" applyNumberFormat="1" applyFont="1" applyFill="1" applyBorder="1" applyAlignment="1">
      <alignment horizontal="center"/>
    </xf>
    <xf numFmtId="0" fontId="16" fillId="3" borderId="9" xfId="15" applyFont="1" applyFill="1" applyBorder="1" applyAlignment="1">
      <alignment horizontal="center"/>
    </xf>
    <xf numFmtId="164" fontId="16" fillId="3" borderId="8" xfId="38" applyFont="1" applyFill="1" applyBorder="1" applyAlignment="1">
      <alignment horizontal="center"/>
    </xf>
    <xf numFmtId="164" fontId="16" fillId="3" borderId="0" xfId="2" applyFont="1" applyFill="1" applyBorder="1" applyAlignment="1">
      <alignment horizontal="center"/>
    </xf>
    <xf numFmtId="4" fontId="15" fillId="3" borderId="0" xfId="15" applyNumberFormat="1" applyFont="1" applyFill="1" applyBorder="1" applyAlignment="1">
      <alignment vertical="center"/>
    </xf>
    <xf numFmtId="4" fontId="15" fillId="3" borderId="11" xfId="15" applyNumberFormat="1" applyFont="1" applyFill="1" applyBorder="1" applyAlignment="1">
      <alignment horizontal="center" vertical="center"/>
    </xf>
    <xf numFmtId="4" fontId="16" fillId="3" borderId="13" xfId="15" applyNumberFormat="1" applyFont="1" applyFill="1" applyBorder="1" applyAlignment="1">
      <alignment horizontal="justify" vertical="center" wrapText="1"/>
    </xf>
    <xf numFmtId="4" fontId="16" fillId="3" borderId="13" xfId="15" applyNumberFormat="1" applyFont="1" applyFill="1" applyBorder="1" applyAlignment="1">
      <alignment horizontal="right" vertical="center" wrapText="1"/>
    </xf>
    <xf numFmtId="4" fontId="15" fillId="3" borderId="29" xfId="15" applyNumberFormat="1" applyFont="1" applyFill="1" applyBorder="1" applyAlignment="1">
      <alignment horizontal="justify" vertical="top" wrapText="1"/>
    </xf>
    <xf numFmtId="4" fontId="15" fillId="3" borderId="29" xfId="15" applyNumberFormat="1" applyFont="1" applyFill="1" applyBorder="1" applyAlignment="1">
      <alignment horizontal="right" vertical="top" wrapText="1"/>
    </xf>
    <xf numFmtId="4" fontId="15" fillId="3" borderId="29" xfId="15" applyNumberFormat="1" applyFont="1" applyFill="1" applyBorder="1" applyAlignment="1">
      <alignment horizontal="center" vertical="top"/>
    </xf>
    <xf numFmtId="4" fontId="16" fillId="3" borderId="0" xfId="15" applyNumberFormat="1" applyFont="1" applyFill="1" applyBorder="1" applyAlignment="1">
      <alignment horizontal="right" vertical="top"/>
    </xf>
    <xf numFmtId="4" fontId="15" fillId="3" borderId="0" xfId="15" applyNumberFormat="1" applyFont="1" applyFill="1" applyBorder="1" applyAlignment="1">
      <alignment horizontal="center" vertical="top"/>
    </xf>
    <xf numFmtId="4" fontId="15" fillId="3" borderId="0" xfId="15" applyNumberFormat="1" applyFont="1" applyFill="1" applyBorder="1" applyAlignment="1">
      <alignment horizontal="justify" vertical="top"/>
    </xf>
    <xf numFmtId="164" fontId="15" fillId="3" borderId="0" xfId="38" applyFont="1" applyFill="1" applyBorder="1" applyAlignment="1">
      <alignment horizontal="right" vertical="top"/>
    </xf>
    <xf numFmtId="4" fontId="32" fillId="0" borderId="13" xfId="15" applyNumberFormat="1" applyFont="1" applyFill="1" applyBorder="1" applyAlignment="1">
      <alignment horizontal="center" vertical="center" wrapText="1"/>
    </xf>
    <xf numFmtId="4" fontId="32" fillId="0" borderId="13" xfId="15" applyNumberFormat="1" applyFont="1" applyFill="1" applyBorder="1" applyAlignment="1">
      <alignment horizontal="center" vertical="center"/>
    </xf>
    <xf numFmtId="4" fontId="15" fillId="0" borderId="13" xfId="0" applyNumberFormat="1" applyFont="1" applyFill="1" applyBorder="1" applyAlignment="1">
      <alignment horizontal="center" vertical="center" wrapText="1"/>
    </xf>
    <xf numFmtId="4" fontId="15" fillId="0" borderId="13" xfId="0" applyNumberFormat="1" applyFont="1" applyFill="1" applyBorder="1" applyAlignment="1">
      <alignment horizontal="center" vertical="center"/>
    </xf>
    <xf numFmtId="164" fontId="23" fillId="13" borderId="8" xfId="1" applyFont="1" applyFill="1" applyBorder="1" applyAlignment="1">
      <alignment horizontal="center"/>
    </xf>
    <xf numFmtId="0" fontId="23" fillId="13" borderId="9" xfId="0" applyFont="1" applyFill="1" applyBorder="1" applyAlignment="1">
      <alignment horizontal="center"/>
    </xf>
    <xf numFmtId="4" fontId="15" fillId="13" borderId="13" xfId="15" applyNumberFormat="1" applyFont="1" applyFill="1" applyBorder="1" applyAlignment="1">
      <alignment horizontal="center" vertical="top"/>
    </xf>
    <xf numFmtId="4" fontId="15" fillId="13" borderId="29" xfId="15" applyNumberFormat="1" applyFont="1" applyFill="1" applyBorder="1" applyAlignment="1">
      <alignment horizontal="center" vertical="top"/>
    </xf>
    <xf numFmtId="4" fontId="15" fillId="13" borderId="0" xfId="15" applyNumberFormat="1" applyFont="1" applyFill="1" applyBorder="1" applyAlignment="1">
      <alignment horizontal="center" vertical="top"/>
    </xf>
    <xf numFmtId="4" fontId="15" fillId="2" borderId="0" xfId="15" applyNumberFormat="1" applyFont="1" applyFill="1" applyBorder="1" applyAlignment="1">
      <alignment horizontal="right" vertical="top"/>
    </xf>
    <xf numFmtId="4" fontId="15" fillId="2" borderId="0" xfId="15" applyNumberFormat="1" applyFont="1" applyFill="1" applyBorder="1" applyAlignment="1">
      <alignment vertical="top"/>
    </xf>
    <xf numFmtId="164" fontId="69" fillId="10" borderId="53" xfId="37" applyNumberFormat="1" applyFont="1" applyFill="1" applyBorder="1" applyAlignment="1">
      <alignment horizontal="center"/>
    </xf>
    <xf numFmtId="4" fontId="15" fillId="0" borderId="13" xfId="0" applyNumberFormat="1" applyFont="1" applyFill="1" applyBorder="1" applyAlignment="1">
      <alignment horizontal="center" vertical="center"/>
    </xf>
    <xf numFmtId="164" fontId="15" fillId="0" borderId="13" xfId="1" applyFont="1" applyFill="1" applyBorder="1" applyAlignment="1">
      <alignment horizontal="center" vertical="center"/>
    </xf>
    <xf numFmtId="4" fontId="15" fillId="3" borderId="13" xfId="0" applyNumberFormat="1" applyFont="1" applyFill="1" applyBorder="1" applyAlignment="1">
      <alignment vertical="center" wrapText="1"/>
    </xf>
    <xf numFmtId="4" fontId="19" fillId="3" borderId="13" xfId="0" applyNumberFormat="1" applyFont="1" applyFill="1" applyBorder="1" applyAlignment="1">
      <alignment vertical="center" wrapText="1"/>
    </xf>
    <xf numFmtId="4" fontId="16" fillId="3" borderId="13" xfId="0" applyNumberFormat="1" applyFont="1" applyFill="1" applyBorder="1" applyAlignment="1">
      <alignment horizontal="right" vertical="center" wrapText="1"/>
    </xf>
    <xf numFmtId="4" fontId="19" fillId="3" borderId="13" xfId="0" applyNumberFormat="1" applyFont="1" applyFill="1" applyBorder="1" applyAlignment="1">
      <alignment horizontal="right" vertical="center" wrapText="1"/>
    </xf>
    <xf numFmtId="4" fontId="16" fillId="3" borderId="13" xfId="0" applyNumberFormat="1" applyFont="1" applyFill="1" applyBorder="1" applyAlignment="1">
      <alignment vertical="center" wrapText="1"/>
    </xf>
    <xf numFmtId="0" fontId="15" fillId="3" borderId="13" xfId="0" applyFont="1" applyFill="1" applyBorder="1" applyAlignment="1">
      <alignment vertical="center"/>
    </xf>
    <xf numFmtId="39" fontId="15" fillId="3" borderId="12" xfId="2" applyNumberFormat="1" applyFont="1" applyFill="1" applyBorder="1" applyAlignment="1">
      <alignment vertical="center"/>
    </xf>
    <xf numFmtId="4" fontId="19" fillId="3" borderId="29" xfId="0" applyNumberFormat="1" applyFont="1" applyFill="1" applyBorder="1" applyAlignment="1">
      <alignment horizontal="right" vertical="center" wrapText="1"/>
    </xf>
    <xf numFmtId="4" fontId="15" fillId="3" borderId="29" xfId="0" applyNumberFormat="1" applyFont="1" applyFill="1" applyBorder="1" applyAlignment="1">
      <alignment horizontal="right" vertical="center" wrapText="1"/>
    </xf>
    <xf numFmtId="4" fontId="15" fillId="3" borderId="114" xfId="0" applyNumberFormat="1" applyFont="1" applyFill="1" applyBorder="1" applyAlignment="1">
      <alignment horizontal="right" vertical="top" wrapText="1"/>
    </xf>
    <xf numFmtId="4" fontId="15" fillId="0" borderId="27" xfId="0" applyNumberFormat="1" applyFont="1" applyFill="1" applyBorder="1" applyAlignment="1">
      <alignment horizontal="center" vertical="center"/>
    </xf>
    <xf numFmtId="0" fontId="19" fillId="0" borderId="37" xfId="0" applyFont="1" applyBorder="1" applyAlignment="1">
      <alignment vertical="justify"/>
    </xf>
    <xf numFmtId="4" fontId="15" fillId="3" borderId="37" xfId="0" applyNumberFormat="1" applyFont="1" applyFill="1" applyBorder="1" applyAlignment="1">
      <alignment horizontal="right" vertical="top" wrapText="1"/>
    </xf>
    <xf numFmtId="4" fontId="31" fillId="0" borderId="82" xfId="0" applyNumberFormat="1" applyFont="1" applyFill="1" applyBorder="1" applyAlignment="1">
      <alignment horizontal="justify" vertical="center" wrapText="1"/>
    </xf>
    <xf numFmtId="4" fontId="32" fillId="0" borderId="37" xfId="0" applyNumberFormat="1" applyFont="1" applyFill="1" applyBorder="1" applyAlignment="1">
      <alignment horizontal="justify" vertical="center" wrapText="1"/>
    </xf>
    <xf numFmtId="4" fontId="32" fillId="0" borderId="37" xfId="0" applyNumberFormat="1" applyFont="1" applyFill="1" applyBorder="1" applyAlignment="1">
      <alignment horizontal="center" vertical="center" wrapText="1"/>
    </xf>
    <xf numFmtId="4" fontId="15" fillId="13" borderId="37" xfId="0" applyNumberFormat="1" applyFont="1" applyFill="1" applyBorder="1" applyAlignment="1">
      <alignment horizontal="center" vertical="center"/>
    </xf>
    <xf numFmtId="164" fontId="15" fillId="0" borderId="37" xfId="38" applyFont="1" applyFill="1" applyBorder="1" applyAlignment="1">
      <alignment horizontal="center" vertical="center"/>
    </xf>
    <xf numFmtId="4" fontId="15" fillId="0" borderId="69" xfId="0" applyNumberFormat="1" applyFont="1" applyFill="1" applyBorder="1" applyAlignment="1">
      <alignment horizontal="center" vertical="center"/>
    </xf>
    <xf numFmtId="4" fontId="32" fillId="3" borderId="13" xfId="0" applyNumberFormat="1" applyFont="1" applyFill="1" applyBorder="1" applyAlignment="1">
      <alignment horizontal="center" vertical="center" wrapText="1"/>
    </xf>
    <xf numFmtId="4" fontId="15" fillId="3" borderId="0" xfId="0" applyNumberFormat="1" applyFont="1" applyFill="1" applyBorder="1" applyAlignment="1">
      <alignment horizontal="left" vertical="center" wrapText="1"/>
    </xf>
    <xf numFmtId="4" fontId="16" fillId="3" borderId="11" xfId="0" applyNumberFormat="1" applyFont="1" applyFill="1" applyBorder="1" applyAlignment="1">
      <alignment horizontal="center" vertical="center"/>
    </xf>
    <xf numFmtId="4" fontId="16" fillId="3" borderId="13" xfId="0" applyNumberFormat="1" applyFont="1" applyFill="1" applyBorder="1" applyAlignment="1">
      <alignment horizontal="justify" vertical="center" wrapText="1"/>
    </xf>
    <xf numFmtId="4" fontId="16" fillId="3" borderId="13" xfId="0" applyNumberFormat="1" applyFont="1" applyFill="1" applyBorder="1" applyAlignment="1">
      <alignment horizontal="justify" vertical="top" wrapText="1"/>
    </xf>
    <xf numFmtId="4" fontId="15" fillId="0" borderId="37" xfId="0" applyNumberFormat="1" applyFont="1" applyFill="1" applyBorder="1" applyAlignment="1">
      <alignment horizontal="right" vertical="top" wrapText="1"/>
    </xf>
    <xf numFmtId="4" fontId="15" fillId="13" borderId="37" xfId="0" applyNumberFormat="1" applyFont="1" applyFill="1" applyBorder="1" applyAlignment="1">
      <alignment horizontal="center" vertical="top"/>
    </xf>
    <xf numFmtId="4" fontId="15" fillId="0" borderId="37" xfId="0" applyNumberFormat="1" applyFont="1" applyFill="1" applyBorder="1" applyAlignment="1">
      <alignment horizontal="justify" vertical="top" wrapText="1"/>
    </xf>
    <xf numFmtId="4" fontId="15" fillId="3" borderId="11" xfId="0" applyNumberFormat="1" applyFont="1" applyFill="1" applyBorder="1" applyAlignment="1">
      <alignment horizontal="center" vertical="top" wrapText="1"/>
    </xf>
    <xf numFmtId="0" fontId="23" fillId="3" borderId="13" xfId="0" applyFont="1" applyFill="1" applyBorder="1" applyAlignment="1">
      <alignment vertical="top" wrapText="1"/>
    </xf>
    <xf numFmtId="4" fontId="15" fillId="3" borderId="13" xfId="0" applyNumberFormat="1" applyFont="1" applyFill="1" applyBorder="1" applyAlignment="1">
      <alignment horizontal="center" vertical="top" wrapText="1"/>
    </xf>
    <xf numFmtId="164" fontId="15" fillId="3" borderId="13" xfId="1" applyFont="1" applyFill="1" applyBorder="1" applyAlignment="1">
      <alignment horizontal="right" vertical="top" wrapText="1"/>
    </xf>
    <xf numFmtId="4" fontId="15" fillId="3" borderId="0" xfId="0" applyNumberFormat="1" applyFont="1" applyFill="1" applyBorder="1" applyAlignment="1">
      <alignment horizontal="right" vertical="top" wrapText="1"/>
    </xf>
    <xf numFmtId="4" fontId="15" fillId="3" borderId="0" xfId="0" applyNumberFormat="1" applyFont="1" applyFill="1" applyBorder="1" applyAlignment="1">
      <alignment vertical="top" wrapText="1"/>
    </xf>
    <xf numFmtId="0" fontId="13" fillId="3" borderId="13" xfId="0" applyFont="1" applyFill="1" applyBorder="1" applyAlignment="1">
      <alignment vertical="top" wrapText="1"/>
    </xf>
    <xf numFmtId="164" fontId="15" fillId="13" borderId="14" xfId="1" applyFont="1" applyFill="1" applyBorder="1" applyAlignment="1">
      <alignment horizontal="right" vertical="top" wrapText="1"/>
    </xf>
    <xf numFmtId="4" fontId="15" fillId="0" borderId="5" xfId="0" applyNumberFormat="1" applyFont="1" applyFill="1" applyBorder="1" applyAlignment="1">
      <alignment horizontal="right" vertical="center"/>
    </xf>
    <xf numFmtId="4" fontId="15" fillId="3" borderId="5" xfId="0" applyNumberFormat="1" applyFont="1" applyFill="1" applyBorder="1" applyAlignment="1">
      <alignment horizontal="right" vertical="top"/>
    </xf>
    <xf numFmtId="4" fontId="15" fillId="3" borderId="5" xfId="0" applyNumberFormat="1" applyFont="1" applyFill="1" applyBorder="1" applyAlignment="1">
      <alignment horizontal="right" vertical="top" wrapText="1"/>
    </xf>
    <xf numFmtId="4" fontId="15" fillId="3" borderId="5" xfId="0" applyNumberFormat="1" applyFont="1" applyFill="1" applyBorder="1" applyAlignment="1">
      <alignment horizontal="right" vertical="center"/>
    </xf>
    <xf numFmtId="4" fontId="16" fillId="0" borderId="45" xfId="0" applyNumberFormat="1" applyFont="1" applyFill="1" applyBorder="1" applyAlignment="1">
      <alignment horizontal="center" vertical="center"/>
    </xf>
    <xf numFmtId="4" fontId="15" fillId="0" borderId="4" xfId="0" applyNumberFormat="1" applyFont="1" applyBorder="1" applyAlignment="1">
      <alignment vertical="center"/>
    </xf>
    <xf numFmtId="4" fontId="15" fillId="3" borderId="4" xfId="0" applyNumberFormat="1" applyFont="1" applyFill="1" applyBorder="1" applyAlignment="1">
      <alignment vertical="top" wrapText="1"/>
    </xf>
    <xf numFmtId="4" fontId="15" fillId="3" borderId="5" xfId="0" applyNumberFormat="1" applyFont="1" applyFill="1" applyBorder="1" applyAlignment="1">
      <alignment vertical="top" wrapText="1"/>
    </xf>
    <xf numFmtId="4" fontId="15" fillId="0" borderId="14" xfId="0" applyNumberFormat="1" applyFont="1" applyFill="1" applyBorder="1" applyAlignment="1">
      <alignment horizontal="right" vertical="center" wrapText="1"/>
    </xf>
    <xf numFmtId="4" fontId="15" fillId="3" borderId="14" xfId="0" applyNumberFormat="1" applyFont="1" applyFill="1" applyBorder="1" applyAlignment="1">
      <alignment horizontal="right" vertical="top" wrapText="1"/>
    </xf>
    <xf numFmtId="164" fontId="15" fillId="13" borderId="24" xfId="1" applyFont="1" applyFill="1" applyBorder="1" applyAlignment="1">
      <alignment horizontal="right" vertical="center"/>
    </xf>
    <xf numFmtId="164" fontId="15" fillId="13" borderId="24" xfId="1" applyFont="1" applyFill="1" applyBorder="1" applyAlignment="1">
      <alignment horizontal="right" vertical="top"/>
    </xf>
    <xf numFmtId="164" fontId="15" fillId="13" borderId="24" xfId="1" applyFont="1" applyFill="1" applyBorder="1" applyAlignment="1">
      <alignment horizontal="right" vertical="top" wrapText="1"/>
    </xf>
    <xf numFmtId="4" fontId="31" fillId="3" borderId="13" xfId="0" applyNumberFormat="1" applyFont="1" applyFill="1" applyBorder="1" applyAlignment="1">
      <alignment horizontal="justify" vertical="center" wrapText="1"/>
    </xf>
    <xf numFmtId="0" fontId="16" fillId="3" borderId="13" xfId="0" applyFont="1" applyFill="1" applyBorder="1" applyAlignment="1">
      <alignment horizontal="justify" vertical="top"/>
    </xf>
    <xf numFmtId="4" fontId="15" fillId="3" borderId="13" xfId="0" applyNumberFormat="1" applyFont="1" applyFill="1" applyBorder="1" applyAlignment="1">
      <alignment vertical="center"/>
    </xf>
    <xf numFmtId="4" fontId="15" fillId="3" borderId="15" xfId="0" applyNumberFormat="1" applyFont="1" applyFill="1" applyBorder="1" applyAlignment="1">
      <alignment vertical="center"/>
    </xf>
    <xf numFmtId="164" fontId="16" fillId="0" borderId="9" xfId="1" applyFont="1" applyFill="1" applyBorder="1" applyAlignment="1">
      <alignment horizontal="center"/>
    </xf>
    <xf numFmtId="4" fontId="19" fillId="0" borderId="37" xfId="0" applyNumberFormat="1" applyFont="1" applyFill="1" applyBorder="1" applyAlignment="1">
      <alignment horizontal="left" vertical="center" wrapText="1"/>
    </xf>
    <xf numFmtId="4" fontId="16" fillId="0" borderId="10" xfId="0" applyNumberFormat="1" applyFont="1" applyFill="1" applyBorder="1" applyAlignment="1">
      <alignment horizontal="right" vertical="center"/>
    </xf>
    <xf numFmtId="0" fontId="31" fillId="0" borderId="13" xfId="15" applyFont="1" applyFill="1" applyBorder="1" applyAlignment="1">
      <alignment horizontal="left" vertical="top" wrapText="1"/>
    </xf>
    <xf numFmtId="0" fontId="32" fillId="0" borderId="13" xfId="14" applyNumberFormat="1" applyFont="1" applyFill="1" applyBorder="1" applyAlignment="1" applyProtection="1">
      <alignment horizontal="left" vertical="center" wrapText="1"/>
      <protection locked="0"/>
    </xf>
    <xf numFmtId="4" fontId="32" fillId="0" borderId="89" xfId="15" applyNumberFormat="1" applyFont="1" applyBorder="1" applyAlignment="1">
      <alignment horizontal="center" vertical="center"/>
    </xf>
    <xf numFmtId="4" fontId="31" fillId="0" borderId="88" xfId="15" applyNumberFormat="1" applyFont="1" applyFill="1" applyBorder="1" applyAlignment="1">
      <alignment horizontal="center" vertical="center"/>
    </xf>
    <xf numFmtId="0" fontId="31" fillId="0" borderId="13" xfId="6" applyFont="1" applyFill="1" applyBorder="1" applyAlignment="1">
      <alignment horizontal="left" vertical="top" wrapText="1"/>
    </xf>
    <xf numFmtId="4" fontId="15" fillId="13" borderId="121" xfId="0" applyNumberFormat="1" applyFont="1" applyFill="1" applyBorder="1" applyAlignment="1">
      <alignment horizontal="center" vertical="center"/>
    </xf>
    <xf numFmtId="164" fontId="15" fillId="3" borderId="122" xfId="1" applyFont="1" applyFill="1" applyBorder="1" applyAlignment="1">
      <alignment horizontal="left" vertical="center"/>
    </xf>
    <xf numFmtId="4" fontId="15" fillId="0" borderId="123" xfId="0" applyNumberFormat="1" applyFont="1" applyFill="1" applyBorder="1" applyAlignment="1">
      <alignment horizontal="right" vertical="center"/>
    </xf>
    <xf numFmtId="0" fontId="32" fillId="0" borderId="13" xfId="15" applyFont="1" applyFill="1" applyBorder="1" applyAlignment="1">
      <alignment horizontal="left" vertical="top" wrapText="1"/>
    </xf>
    <xf numFmtId="4" fontId="32" fillId="0" borderId="11" xfId="15" applyNumberFormat="1" applyFont="1" applyFill="1" applyBorder="1" applyAlignment="1">
      <alignment horizontal="center" vertical="top"/>
    </xf>
    <xf numFmtId="0" fontId="32" fillId="0" borderId="13" xfId="15" applyFont="1" applyFill="1" applyBorder="1" applyAlignment="1">
      <alignment horizontal="left" vertical="center" wrapText="1"/>
    </xf>
    <xf numFmtId="0" fontId="31" fillId="0" borderId="13" xfId="15" applyFont="1" applyFill="1" applyBorder="1" applyAlignment="1">
      <alignment vertical="top" wrapText="1"/>
    </xf>
    <xf numFmtId="164" fontId="31" fillId="13" borderId="13" xfId="1" applyFont="1" applyFill="1" applyBorder="1" applyAlignment="1">
      <alignment vertical="top" wrapText="1"/>
    </xf>
    <xf numFmtId="0" fontId="31" fillId="13" borderId="13" xfId="15" applyFont="1" applyFill="1" applyBorder="1" applyAlignment="1">
      <alignment vertical="top" wrapText="1"/>
    </xf>
    <xf numFmtId="0" fontId="31" fillId="0" borderId="13" xfId="14" quotePrefix="1" applyNumberFormat="1" applyFont="1" applyFill="1" applyBorder="1" applyAlignment="1" applyProtection="1">
      <alignment horizontal="left" vertical="center" wrapText="1"/>
      <protection locked="0"/>
    </xf>
    <xf numFmtId="0" fontId="31" fillId="0" borderId="13" xfId="14" applyNumberFormat="1" applyFont="1" applyFill="1" applyBorder="1" applyAlignment="1" applyProtection="1">
      <alignment horizontal="left" vertical="center" wrapText="1"/>
      <protection locked="0"/>
    </xf>
    <xf numFmtId="0" fontId="32" fillId="0" borderId="13" xfId="15" applyFont="1" applyFill="1" applyBorder="1" applyAlignment="1">
      <alignment vertical="top"/>
    </xf>
    <xf numFmtId="0" fontId="31" fillId="0" borderId="13" xfId="15" applyFont="1" applyFill="1" applyBorder="1" applyAlignment="1">
      <alignment horizontal="left" vertical="center" wrapText="1"/>
    </xf>
    <xf numFmtId="0" fontId="32" fillId="0" borderId="13" xfId="15" applyFont="1" applyFill="1" applyBorder="1" applyAlignment="1">
      <alignment vertical="top" wrapText="1"/>
    </xf>
    <xf numFmtId="4" fontId="32" fillId="0" borderId="13" xfId="15" applyNumberFormat="1" applyFont="1" applyFill="1" applyBorder="1" applyAlignment="1">
      <alignment vertical="center"/>
    </xf>
    <xf numFmtId="164" fontId="32" fillId="13" borderId="13" xfId="1" applyFont="1" applyFill="1" applyBorder="1" applyAlignment="1">
      <alignment vertical="center"/>
    </xf>
    <xf numFmtId="4" fontId="32" fillId="13" borderId="13" xfId="15" applyNumberFormat="1" applyFont="1" applyFill="1" applyBorder="1" applyAlignment="1">
      <alignment vertical="center"/>
    </xf>
    <xf numFmtId="164" fontId="32" fillId="0" borderId="13" xfId="43" applyFont="1" applyFill="1" applyBorder="1" applyAlignment="1">
      <alignment vertical="center"/>
    </xf>
    <xf numFmtId="4" fontId="32" fillId="0" borderId="15" xfId="15" applyNumberFormat="1" applyFont="1" applyFill="1" applyBorder="1" applyAlignment="1">
      <alignment vertical="center"/>
    </xf>
    <xf numFmtId="0" fontId="31" fillId="0" borderId="13" xfId="15" applyFont="1" applyFill="1" applyBorder="1" applyAlignment="1">
      <alignment horizontal="left" vertical="top"/>
    </xf>
    <xf numFmtId="0" fontId="18" fillId="0" borderId="14" xfId="30" applyFont="1" applyFill="1" applyBorder="1" applyAlignment="1">
      <alignment horizontal="left" vertical="center"/>
    </xf>
    <xf numFmtId="4" fontId="32" fillId="0" borderId="14" xfId="15" applyNumberFormat="1" applyFont="1" applyFill="1" applyBorder="1" applyAlignment="1">
      <alignment horizontal="justify" vertical="top" wrapText="1"/>
    </xf>
    <xf numFmtId="4" fontId="32" fillId="13" borderId="14" xfId="15" applyNumberFormat="1" applyFont="1" applyFill="1" applyBorder="1" applyAlignment="1">
      <alignment horizontal="center" vertical="center"/>
    </xf>
    <xf numFmtId="164" fontId="32" fillId="0" borderId="14" xfId="43" applyFont="1" applyFill="1" applyBorder="1" applyAlignment="1">
      <alignment horizontal="center" vertical="center"/>
    </xf>
    <xf numFmtId="0" fontId="32" fillId="0" borderId="29" xfId="15" applyFont="1" applyFill="1" applyBorder="1" applyAlignment="1">
      <alignment vertical="top" wrapText="1"/>
    </xf>
    <xf numFmtId="164" fontId="15" fillId="3" borderId="30" xfId="1" applyFont="1" applyFill="1" applyBorder="1" applyAlignment="1">
      <alignment horizontal="left" vertical="center"/>
    </xf>
    <xf numFmtId="4" fontId="15" fillId="3" borderId="31" xfId="0" applyNumberFormat="1" applyFont="1" applyFill="1" applyBorder="1" applyAlignment="1">
      <alignment horizontal="center" vertical="center"/>
    </xf>
    <xf numFmtId="4" fontId="32" fillId="0" borderId="6" xfId="15" applyNumberFormat="1" applyFont="1" applyBorder="1" applyAlignment="1">
      <alignment horizontal="center" vertical="top"/>
    </xf>
    <xf numFmtId="0" fontId="32" fillId="0" borderId="8" xfId="15" applyFont="1" applyFill="1" applyBorder="1" applyAlignment="1">
      <alignment vertical="top" wrapText="1"/>
    </xf>
    <xf numFmtId="164" fontId="32" fillId="13" borderId="8" xfId="1" applyFont="1" applyFill="1" applyBorder="1" applyAlignment="1">
      <alignment horizontal="center" vertical="center"/>
    </xf>
    <xf numFmtId="4" fontId="32" fillId="0" borderId="8" xfId="15" applyNumberFormat="1" applyFont="1" applyFill="1" applyBorder="1" applyAlignment="1">
      <alignment horizontal="center" vertical="center" wrapText="1"/>
    </xf>
    <xf numFmtId="4" fontId="32" fillId="0" borderId="8" xfId="15" applyNumberFormat="1" applyFont="1" applyFill="1" applyBorder="1" applyAlignment="1">
      <alignment horizontal="center" vertical="center"/>
    </xf>
    <xf numFmtId="4" fontId="32" fillId="13" borderId="8" xfId="15" applyNumberFormat="1" applyFont="1" applyFill="1" applyBorder="1" applyAlignment="1">
      <alignment horizontal="center" vertical="center"/>
    </xf>
    <xf numFmtId="164" fontId="32" fillId="0" borderId="8" xfId="43" applyFont="1" applyFill="1" applyBorder="1" applyAlignment="1">
      <alignment horizontal="center" vertical="center"/>
    </xf>
    <xf numFmtId="4" fontId="32" fillId="0" borderId="10" xfId="15" applyNumberFormat="1" applyFont="1" applyFill="1" applyBorder="1" applyAlignment="1">
      <alignment horizontal="center" vertical="center"/>
    </xf>
    <xf numFmtId="0" fontId="32" fillId="0" borderId="37" xfId="15" applyFont="1" applyFill="1" applyBorder="1" applyAlignment="1">
      <alignment vertical="top" wrapText="1"/>
    </xf>
    <xf numFmtId="4" fontId="32" fillId="0" borderId="29" xfId="15" applyNumberFormat="1" applyFont="1" applyFill="1" applyBorder="1" applyAlignment="1">
      <alignment horizontal="justify" vertical="top" wrapText="1"/>
    </xf>
    <xf numFmtId="164" fontId="15" fillId="13" borderId="124" xfId="1" applyFont="1" applyFill="1" applyBorder="1" applyAlignment="1">
      <alignment horizontal="right" vertical="center"/>
    </xf>
    <xf numFmtId="164" fontId="15" fillId="3" borderId="124" xfId="1" applyFont="1" applyFill="1" applyBorder="1" applyAlignment="1">
      <alignment horizontal="left" vertical="center"/>
    </xf>
    <xf numFmtId="4" fontId="15" fillId="0" borderId="125" xfId="0" applyNumberFormat="1" applyFont="1" applyFill="1" applyBorder="1" applyAlignment="1">
      <alignment horizontal="right" vertical="center"/>
    </xf>
    <xf numFmtId="4" fontId="18" fillId="0" borderId="37" xfId="15" applyNumberFormat="1" applyFont="1" applyFill="1" applyBorder="1" applyAlignment="1">
      <alignment horizontal="justify" vertical="top" wrapText="1"/>
    </xf>
    <xf numFmtId="164" fontId="15" fillId="13" borderId="126" xfId="1" applyFont="1" applyFill="1" applyBorder="1" applyAlignment="1">
      <alignment horizontal="right" vertical="center"/>
    </xf>
    <xf numFmtId="164" fontId="15" fillId="3" borderId="126" xfId="1" applyFont="1" applyFill="1" applyBorder="1" applyAlignment="1">
      <alignment horizontal="left" vertical="center"/>
    </xf>
    <xf numFmtId="4" fontId="15" fillId="0" borderId="127" xfId="0" applyNumberFormat="1" applyFont="1" applyFill="1" applyBorder="1" applyAlignment="1">
      <alignment horizontal="right" vertical="center"/>
    </xf>
    <xf numFmtId="164" fontId="15" fillId="13" borderId="122" xfId="1" applyFont="1" applyFill="1" applyBorder="1" applyAlignment="1">
      <alignment horizontal="right" vertical="center"/>
    </xf>
    <xf numFmtId="164" fontId="15" fillId="13" borderId="110" xfId="1" applyFont="1" applyFill="1" applyBorder="1" applyAlignment="1">
      <alignment horizontal="right" vertical="center"/>
    </xf>
    <xf numFmtId="164" fontId="15" fillId="3" borderId="110" xfId="1" applyFont="1" applyFill="1" applyBorder="1" applyAlignment="1">
      <alignment horizontal="left" vertical="center"/>
    </xf>
    <xf numFmtId="4" fontId="15" fillId="0" borderId="69" xfId="0" applyNumberFormat="1" applyFont="1" applyFill="1" applyBorder="1" applyAlignment="1">
      <alignment horizontal="right" vertical="center"/>
    </xf>
    <xf numFmtId="164" fontId="32" fillId="0" borderId="74" xfId="43" applyFont="1" applyFill="1" applyBorder="1" applyAlignment="1">
      <alignment horizontal="center" vertical="center"/>
    </xf>
    <xf numFmtId="4" fontId="18" fillId="0" borderId="13" xfId="0" applyNumberFormat="1" applyFont="1" applyFill="1" applyBorder="1" applyAlignment="1">
      <alignment horizontal="justify" vertical="center"/>
    </xf>
    <xf numFmtId="4" fontId="18" fillId="0" borderId="13" xfId="0" applyNumberFormat="1" applyFont="1" applyFill="1" applyBorder="1" applyAlignment="1">
      <alignment horizontal="right" vertical="center"/>
    </xf>
    <xf numFmtId="0" fontId="23" fillId="3" borderId="13" xfId="0" applyFont="1" applyFill="1" applyBorder="1" applyAlignment="1">
      <alignment wrapText="1"/>
    </xf>
    <xf numFmtId="0" fontId="13" fillId="3" borderId="13" xfId="0" applyFont="1" applyFill="1" applyBorder="1" applyAlignment="1">
      <alignment wrapText="1"/>
    </xf>
    <xf numFmtId="0" fontId="23" fillId="0" borderId="13" xfId="0" applyFont="1" applyFill="1" applyBorder="1" applyAlignment="1">
      <alignment vertical="top" wrapText="1"/>
    </xf>
    <xf numFmtId="4" fontId="15" fillId="3" borderId="36" xfId="15" applyNumberFormat="1" applyFont="1" applyFill="1" applyBorder="1" applyAlignment="1">
      <alignment horizontal="center" vertical="center"/>
    </xf>
    <xf numFmtId="4" fontId="18" fillId="3" borderId="37" xfId="15" applyNumberFormat="1" applyFont="1" applyFill="1" applyBorder="1" applyAlignment="1">
      <alignment horizontal="justify" vertical="center" wrapText="1"/>
    </xf>
    <xf numFmtId="4" fontId="18" fillId="3" borderId="37" xfId="15" applyNumberFormat="1" applyFont="1" applyFill="1" applyBorder="1" applyAlignment="1">
      <alignment horizontal="right" vertical="center" wrapText="1"/>
    </xf>
    <xf numFmtId="4" fontId="15" fillId="3" borderId="37" xfId="15" applyNumberFormat="1" applyFont="1" applyFill="1" applyBorder="1" applyAlignment="1">
      <alignment horizontal="center" vertical="top"/>
    </xf>
    <xf numFmtId="4" fontId="15" fillId="13" borderId="37" xfId="15" applyNumberFormat="1" applyFont="1" applyFill="1" applyBorder="1" applyAlignment="1">
      <alignment horizontal="center" vertical="top"/>
    </xf>
    <xf numFmtId="164" fontId="15" fillId="3" borderId="37" xfId="38" applyFont="1" applyFill="1" applyBorder="1" applyAlignment="1">
      <alignment horizontal="right" vertical="top"/>
    </xf>
    <xf numFmtId="4" fontId="15" fillId="3" borderId="69" xfId="15" applyNumberFormat="1" applyFont="1" applyFill="1" applyBorder="1" applyAlignment="1">
      <alignment horizontal="right" vertical="top"/>
    </xf>
    <xf numFmtId="4" fontId="19" fillId="3" borderId="13" xfId="15" applyNumberFormat="1" applyFont="1" applyFill="1" applyBorder="1" applyAlignment="1">
      <alignment horizontal="justify" vertical="center" wrapText="1"/>
    </xf>
    <xf numFmtId="4" fontId="19" fillId="3" borderId="13" xfId="15" applyNumberFormat="1" applyFont="1" applyFill="1" applyBorder="1" applyAlignment="1">
      <alignment horizontal="right" vertical="center" wrapText="1"/>
    </xf>
    <xf numFmtId="4" fontId="15" fillId="3" borderId="13" xfId="15" applyNumberFormat="1" applyFont="1" applyFill="1" applyBorder="1" applyAlignment="1">
      <alignment horizontal="left" vertical="top" wrapText="1"/>
    </xf>
    <xf numFmtId="4" fontId="16" fillId="3" borderId="11" xfId="15" applyNumberFormat="1" applyFont="1" applyFill="1" applyBorder="1" applyAlignment="1">
      <alignment horizontal="center" vertical="top"/>
    </xf>
    <xf numFmtId="4" fontId="16" fillId="3" borderId="13" xfId="15" applyNumberFormat="1" applyFont="1" applyFill="1" applyBorder="1" applyAlignment="1">
      <alignment horizontal="left" vertical="top" wrapText="1"/>
    </xf>
    <xf numFmtId="4" fontId="16" fillId="3" borderId="13" xfId="15" applyNumberFormat="1" applyFont="1" applyFill="1" applyBorder="1" applyAlignment="1">
      <alignment horizontal="right" vertical="top" wrapText="1"/>
    </xf>
    <xf numFmtId="4" fontId="16" fillId="3" borderId="13" xfId="15" applyNumberFormat="1" applyFont="1" applyFill="1" applyBorder="1" applyAlignment="1">
      <alignment horizontal="center" vertical="top"/>
    </xf>
    <xf numFmtId="164" fontId="16" fillId="3" borderId="13" xfId="38" applyFont="1" applyFill="1" applyBorder="1" applyAlignment="1">
      <alignment horizontal="right" vertical="top"/>
    </xf>
    <xf numFmtId="4" fontId="16" fillId="3" borderId="15" xfId="15" applyNumberFormat="1" applyFont="1" applyFill="1" applyBorder="1" applyAlignment="1">
      <alignment horizontal="right" vertical="top"/>
    </xf>
    <xf numFmtId="4" fontId="16" fillId="2" borderId="0" xfId="15" applyNumberFormat="1" applyFont="1" applyFill="1" applyBorder="1" applyAlignment="1">
      <alignment horizontal="right" vertical="top"/>
    </xf>
    <xf numFmtId="4" fontId="16" fillId="2" borderId="0" xfId="15" applyNumberFormat="1" applyFont="1" applyFill="1" applyBorder="1" applyAlignment="1">
      <alignment vertical="top"/>
    </xf>
    <xf numFmtId="4" fontId="16" fillId="3" borderId="0" xfId="15" applyNumberFormat="1" applyFont="1" applyFill="1" applyBorder="1" applyAlignment="1">
      <alignment vertical="top"/>
    </xf>
    <xf numFmtId="4" fontId="15" fillId="3" borderId="13" xfId="15" applyNumberFormat="1" applyFont="1" applyFill="1" applyBorder="1" applyAlignment="1">
      <alignment horizontal="left" wrapText="1"/>
    </xf>
    <xf numFmtId="4" fontId="16" fillId="3" borderId="13" xfId="15" applyNumberFormat="1" applyFont="1" applyFill="1" applyBorder="1" applyAlignment="1">
      <alignment horizontal="justify" vertical="top" wrapText="1"/>
    </xf>
    <xf numFmtId="4" fontId="15" fillId="3" borderId="108" xfId="15" applyNumberFormat="1" applyFont="1" applyFill="1" applyBorder="1" applyAlignment="1">
      <alignment horizontal="center" vertical="top"/>
    </xf>
    <xf numFmtId="4" fontId="15" fillId="3" borderId="33" xfId="15" applyNumberFormat="1" applyFont="1" applyFill="1" applyBorder="1" applyAlignment="1">
      <alignment horizontal="justify" vertical="top" wrapText="1"/>
    </xf>
    <xf numFmtId="4" fontId="15" fillId="3" borderId="33" xfId="15" applyNumberFormat="1" applyFont="1" applyFill="1" applyBorder="1" applyAlignment="1">
      <alignment horizontal="right" vertical="top" wrapText="1"/>
    </xf>
    <xf numFmtId="4" fontId="15" fillId="3" borderId="33" xfId="15" applyNumberFormat="1" applyFont="1" applyFill="1" applyBorder="1" applyAlignment="1">
      <alignment horizontal="center" vertical="top"/>
    </xf>
    <xf numFmtId="4" fontId="15" fillId="3" borderId="90" xfId="15" applyNumberFormat="1" applyFont="1" applyFill="1" applyBorder="1" applyAlignment="1">
      <alignment horizontal="center" vertical="top"/>
    </xf>
    <xf numFmtId="4" fontId="15" fillId="3" borderId="32" xfId="15" applyNumberFormat="1" applyFont="1" applyFill="1" applyBorder="1" applyAlignment="1">
      <alignment horizontal="left" wrapText="1"/>
    </xf>
    <xf numFmtId="4" fontId="15" fillId="3" borderId="32" xfId="15" applyNumberFormat="1" applyFont="1" applyFill="1" applyBorder="1" applyAlignment="1">
      <alignment horizontal="right" vertical="top" wrapText="1"/>
    </xf>
    <xf numFmtId="4" fontId="15" fillId="3" borderId="32" xfId="15" applyNumberFormat="1" applyFont="1" applyFill="1" applyBorder="1" applyAlignment="1">
      <alignment horizontal="center" vertical="top"/>
    </xf>
    <xf numFmtId="164" fontId="15" fillId="3" borderId="14" xfId="1" applyFont="1" applyFill="1" applyBorder="1" applyAlignment="1">
      <alignment horizontal="left" vertical="top"/>
    </xf>
    <xf numFmtId="164" fontId="16" fillId="3" borderId="14" xfId="1" applyFont="1" applyFill="1" applyBorder="1" applyAlignment="1">
      <alignment horizontal="left" vertical="center"/>
    </xf>
    <xf numFmtId="4" fontId="16" fillId="3" borderId="15" xfId="0" applyNumberFormat="1" applyFont="1" applyFill="1" applyBorder="1" applyAlignment="1">
      <alignment horizontal="right" vertical="center"/>
    </xf>
    <xf numFmtId="4" fontId="16" fillId="13" borderId="13" xfId="15" applyNumberFormat="1" applyFont="1" applyFill="1" applyBorder="1" applyAlignment="1">
      <alignment horizontal="center" vertical="top"/>
    </xf>
    <xf numFmtId="4" fontId="16" fillId="13" borderId="13" xfId="0" applyNumberFormat="1" applyFont="1" applyFill="1" applyBorder="1" applyAlignment="1">
      <alignment horizontal="center" vertical="center"/>
    </xf>
    <xf numFmtId="4" fontId="15" fillId="13" borderId="33" xfId="15" applyNumberFormat="1" applyFont="1" applyFill="1" applyBorder="1" applyAlignment="1">
      <alignment horizontal="center" vertical="top"/>
    </xf>
    <xf numFmtId="4" fontId="15" fillId="13" borderId="32" xfId="15" applyNumberFormat="1" applyFont="1" applyFill="1" applyBorder="1" applyAlignment="1">
      <alignment horizontal="center" vertical="top"/>
    </xf>
    <xf numFmtId="4" fontId="79" fillId="3" borderId="37" xfId="0" applyNumberFormat="1" applyFont="1" applyFill="1" applyBorder="1" applyAlignment="1">
      <alignment horizontal="justify" vertical="top" wrapText="1"/>
    </xf>
    <xf numFmtId="164" fontId="78" fillId="3" borderId="37" xfId="38" applyFont="1" applyFill="1" applyBorder="1" applyAlignment="1">
      <alignment horizontal="center" vertical="center" wrapText="1"/>
    </xf>
    <xf numFmtId="4" fontId="78" fillId="3" borderId="37" xfId="0" applyNumberFormat="1" applyFont="1" applyFill="1" applyBorder="1" applyAlignment="1">
      <alignment horizontal="center" vertical="center"/>
    </xf>
    <xf numFmtId="4" fontId="78" fillId="13" borderId="37" xfId="0" applyNumberFormat="1" applyFont="1" applyFill="1" applyBorder="1" applyAlignment="1">
      <alignment horizontal="center" vertical="center"/>
    </xf>
    <xf numFmtId="4" fontId="78" fillId="3" borderId="69" xfId="0" applyNumberFormat="1" applyFont="1" applyFill="1" applyBorder="1" applyAlignment="1">
      <alignment horizontal="center" vertical="center"/>
    </xf>
    <xf numFmtId="4" fontId="76" fillId="3" borderId="89" xfId="0" applyNumberFormat="1" applyFont="1" applyFill="1" applyBorder="1" applyAlignment="1">
      <alignment vertical="center" wrapText="1"/>
    </xf>
    <xf numFmtId="4" fontId="76" fillId="3" borderId="119" xfId="0" applyNumberFormat="1" applyFont="1" applyFill="1" applyBorder="1" applyAlignment="1">
      <alignment vertical="center" wrapText="1"/>
    </xf>
    <xf numFmtId="4" fontId="76" fillId="3" borderId="88" xfId="0" applyNumberFormat="1" applyFont="1" applyFill="1" applyBorder="1" applyAlignment="1">
      <alignment vertical="center" wrapText="1"/>
    </xf>
    <xf numFmtId="2" fontId="78" fillId="3" borderId="29" xfId="42" applyNumberFormat="1" applyFont="1" applyFill="1" applyBorder="1" applyAlignment="1">
      <alignment horizontal="left" vertical="center" wrapText="1"/>
    </xf>
    <xf numFmtId="4" fontId="78" fillId="3" borderId="29" xfId="28" applyNumberFormat="1" applyFont="1" applyFill="1" applyBorder="1" applyAlignment="1">
      <alignment horizontal="center" vertical="center"/>
    </xf>
    <xf numFmtId="4" fontId="78" fillId="13" borderId="29" xfId="28" applyNumberFormat="1" applyFont="1" applyFill="1" applyBorder="1" applyAlignment="1">
      <alignment horizontal="center" vertical="center"/>
    </xf>
    <xf numFmtId="164" fontId="78" fillId="3" borderId="30" xfId="1" applyFont="1" applyFill="1" applyBorder="1" applyAlignment="1">
      <alignment horizontal="left" vertical="center"/>
    </xf>
    <xf numFmtId="4" fontId="32" fillId="3" borderId="6" xfId="15" applyNumberFormat="1" applyFont="1" applyFill="1" applyBorder="1" applyAlignment="1">
      <alignment horizontal="center" vertical="center"/>
    </xf>
    <xf numFmtId="4" fontId="31" fillId="3" borderId="8" xfId="15" applyNumberFormat="1" applyFont="1" applyFill="1" applyBorder="1" applyAlignment="1">
      <alignment horizontal="justify" vertical="center" wrapText="1"/>
    </xf>
    <xf numFmtId="4" fontId="18" fillId="3" borderId="8" xfId="15" applyNumberFormat="1" applyFont="1" applyFill="1" applyBorder="1" applyAlignment="1">
      <alignment horizontal="right" vertical="center" wrapText="1"/>
    </xf>
    <xf numFmtId="4" fontId="32" fillId="3" borderId="8" xfId="15" applyNumberFormat="1" applyFont="1" applyFill="1" applyBorder="1" applyAlignment="1">
      <alignment horizontal="center" vertical="top"/>
    </xf>
    <xf numFmtId="4" fontId="32" fillId="13" borderId="8" xfId="15" applyNumberFormat="1" applyFont="1" applyFill="1" applyBorder="1" applyAlignment="1">
      <alignment horizontal="center" vertical="top"/>
    </xf>
    <xf numFmtId="164" fontId="32" fillId="3" borderId="8" xfId="38" applyFont="1" applyFill="1" applyBorder="1" applyAlignment="1">
      <alignment horizontal="right" vertical="top"/>
    </xf>
    <xf numFmtId="4" fontId="31" fillId="3" borderId="10" xfId="15" applyNumberFormat="1" applyFont="1" applyFill="1" applyBorder="1" applyAlignment="1">
      <alignment horizontal="right" vertical="top"/>
    </xf>
    <xf numFmtId="4" fontId="31" fillId="3" borderId="0" xfId="15" applyNumberFormat="1" applyFont="1" applyFill="1" applyBorder="1" applyAlignment="1">
      <alignment horizontal="right" vertical="top"/>
    </xf>
    <xf numFmtId="4" fontId="32" fillId="3" borderId="0" xfId="15" applyNumberFormat="1" applyFont="1" applyFill="1" applyBorder="1" applyAlignment="1">
      <alignment vertical="center"/>
    </xf>
    <xf numFmtId="164" fontId="15" fillId="3" borderId="29" xfId="38" applyFont="1" applyFill="1" applyBorder="1" applyAlignment="1">
      <alignment horizontal="right" vertical="top"/>
    </xf>
    <xf numFmtId="4" fontId="15" fillId="3" borderId="31" xfId="15" applyNumberFormat="1" applyFont="1" applyFill="1" applyBorder="1" applyAlignment="1">
      <alignment horizontal="right" vertical="top"/>
    </xf>
    <xf numFmtId="4" fontId="16" fillId="3" borderId="36" xfId="15" applyNumberFormat="1" applyFont="1" applyFill="1" applyBorder="1" applyAlignment="1">
      <alignment horizontal="center" vertical="top"/>
    </xf>
    <xf numFmtId="4" fontId="16" fillId="3" borderId="37" xfId="15" applyNumberFormat="1" applyFont="1" applyFill="1" applyBorder="1" applyAlignment="1">
      <alignment horizontal="left" vertical="top" wrapText="1"/>
    </xf>
    <xf numFmtId="4" fontId="16" fillId="3" borderId="37" xfId="15" applyNumberFormat="1" applyFont="1" applyFill="1" applyBorder="1" applyAlignment="1">
      <alignment horizontal="right" vertical="top" wrapText="1"/>
    </xf>
    <xf numFmtId="4" fontId="16" fillId="3" borderId="37" xfId="15" applyNumberFormat="1" applyFont="1" applyFill="1" applyBorder="1" applyAlignment="1">
      <alignment horizontal="center" vertical="top"/>
    </xf>
    <xf numFmtId="4" fontId="16" fillId="13" borderId="37" xfId="15" applyNumberFormat="1" applyFont="1" applyFill="1" applyBorder="1" applyAlignment="1">
      <alignment horizontal="center" vertical="top"/>
    </xf>
    <xf numFmtId="164" fontId="16" fillId="3" borderId="37" xfId="38" applyFont="1" applyFill="1" applyBorder="1" applyAlignment="1">
      <alignment horizontal="right" vertical="top"/>
    </xf>
    <xf numFmtId="4" fontId="16" fillId="3" borderId="69" xfId="15" applyNumberFormat="1" applyFont="1" applyFill="1" applyBorder="1" applyAlignment="1">
      <alignment horizontal="right" vertical="top"/>
    </xf>
    <xf numFmtId="164" fontId="15" fillId="3" borderId="30" xfId="1" applyFont="1" applyFill="1" applyBorder="1" applyAlignment="1">
      <alignment horizontal="left" vertical="top"/>
    </xf>
    <xf numFmtId="4" fontId="16" fillId="3" borderId="37" xfId="15" applyNumberFormat="1" applyFont="1" applyFill="1" applyBorder="1" applyAlignment="1">
      <alignment horizontal="justify" vertical="top" wrapText="1"/>
    </xf>
    <xf numFmtId="4" fontId="16" fillId="13" borderId="37" xfId="0" applyNumberFormat="1" applyFont="1" applyFill="1" applyBorder="1" applyAlignment="1">
      <alignment horizontal="center" vertical="center"/>
    </xf>
    <xf numFmtId="164" fontId="16" fillId="3" borderId="110" xfId="1" applyFont="1" applyFill="1" applyBorder="1" applyAlignment="1">
      <alignment horizontal="left" vertical="center"/>
    </xf>
    <xf numFmtId="4" fontId="16" fillId="3" borderId="69" xfId="0" applyNumberFormat="1" applyFont="1" applyFill="1" applyBorder="1" applyAlignment="1">
      <alignment horizontal="right" vertical="center"/>
    </xf>
    <xf numFmtId="173" fontId="81" fillId="0" borderId="11" xfId="0" applyNumberFormat="1" applyFont="1" applyBorder="1" applyAlignment="1">
      <alignment horizontal="center" vertical="top"/>
    </xf>
    <xf numFmtId="4" fontId="81" fillId="0" borderId="13" xfId="0" applyNumberFormat="1" applyFont="1" applyFill="1" applyBorder="1" applyAlignment="1">
      <alignment horizontal="justify" vertical="top" wrapText="1"/>
    </xf>
    <xf numFmtId="4" fontId="82" fillId="0" borderId="13" xfId="0" applyNumberFormat="1" applyFont="1" applyFill="1" applyBorder="1" applyAlignment="1">
      <alignment horizontal="center" vertical="top" wrapText="1"/>
    </xf>
    <xf numFmtId="4" fontId="82" fillId="0" borderId="13" xfId="0" applyNumberFormat="1" applyFont="1" applyFill="1" applyBorder="1" applyAlignment="1">
      <alignment horizontal="center" vertical="top"/>
    </xf>
    <xf numFmtId="164" fontId="82" fillId="13" borderId="13" xfId="1" applyFont="1" applyFill="1" applyBorder="1" applyAlignment="1">
      <alignment horizontal="right" vertical="top"/>
    </xf>
    <xf numFmtId="164" fontId="82" fillId="13" borderId="14" xfId="1" applyFont="1" applyFill="1" applyBorder="1" applyAlignment="1">
      <alignment horizontal="right" vertical="center"/>
    </xf>
    <xf numFmtId="4" fontId="82" fillId="0" borderId="15" xfId="0" applyNumberFormat="1" applyFont="1" applyFill="1" applyBorder="1" applyAlignment="1">
      <alignment horizontal="right" vertical="top"/>
    </xf>
    <xf numFmtId="4" fontId="82" fillId="0" borderId="0" xfId="0" applyNumberFormat="1" applyFont="1" applyBorder="1" applyAlignment="1">
      <alignment vertical="top"/>
    </xf>
    <xf numFmtId="173" fontId="82" fillId="0" borderId="11" xfId="0" applyNumberFormat="1" applyFont="1" applyBorder="1" applyAlignment="1">
      <alignment horizontal="center" vertical="top"/>
    </xf>
    <xf numFmtId="4" fontId="82" fillId="0" borderId="13" xfId="0" applyNumberFormat="1" applyFont="1" applyFill="1" applyBorder="1" applyAlignment="1">
      <alignment horizontal="justify" vertical="top" wrapText="1"/>
    </xf>
    <xf numFmtId="164" fontId="82" fillId="13" borderId="14" xfId="1" applyFont="1" applyFill="1" applyBorder="1" applyAlignment="1">
      <alignment horizontal="right" vertical="top"/>
    </xf>
    <xf numFmtId="164" fontId="82" fillId="0" borderId="14" xfId="1" applyFont="1" applyFill="1" applyBorder="1" applyAlignment="1">
      <alignment horizontal="right" vertical="top"/>
    </xf>
    <xf numFmtId="173" fontId="81" fillId="0" borderId="6" xfId="0" applyNumberFormat="1" applyFont="1" applyFill="1" applyBorder="1" applyAlignment="1">
      <alignment horizontal="center"/>
    </xf>
    <xf numFmtId="2" fontId="81" fillId="0" borderId="7" xfId="0" applyNumberFormat="1" applyFont="1" applyFill="1" applyBorder="1" applyAlignment="1">
      <alignment horizontal="center"/>
    </xf>
    <xf numFmtId="2" fontId="81" fillId="0" borderId="8" xfId="0" applyNumberFormat="1" applyFont="1" applyFill="1" applyBorder="1" applyAlignment="1">
      <alignment horizontal="center"/>
    </xf>
    <xf numFmtId="0" fontId="81" fillId="0" borderId="9" xfId="0" applyFont="1" applyFill="1" applyBorder="1" applyAlignment="1">
      <alignment horizontal="center"/>
    </xf>
    <xf numFmtId="164" fontId="81" fillId="13" borderId="8" xfId="1" applyFont="1" applyFill="1" applyBorder="1" applyAlignment="1">
      <alignment horizontal="center"/>
    </xf>
    <xf numFmtId="164" fontId="81" fillId="13" borderId="9" xfId="1" applyFont="1" applyFill="1" applyBorder="1" applyAlignment="1">
      <alignment horizontal="center"/>
    </xf>
    <xf numFmtId="164" fontId="81" fillId="0" borderId="9" xfId="1" applyFont="1" applyFill="1" applyBorder="1" applyAlignment="1">
      <alignment horizontal="center"/>
    </xf>
    <xf numFmtId="164" fontId="81" fillId="0" borderId="10" xfId="2" applyFont="1" applyFill="1" applyBorder="1" applyAlignment="1">
      <alignment horizontal="center"/>
    </xf>
    <xf numFmtId="4" fontId="82" fillId="0" borderId="0" xfId="0" applyNumberFormat="1" applyFont="1" applyFill="1" applyBorder="1" applyAlignment="1">
      <alignment vertical="center"/>
    </xf>
    <xf numFmtId="173" fontId="81" fillId="0" borderId="36" xfId="0" applyNumberFormat="1" applyFont="1" applyFill="1" applyBorder="1" applyAlignment="1">
      <alignment horizontal="center"/>
    </xf>
    <xf numFmtId="4" fontId="81" fillId="0" borderId="37" xfId="0" applyNumberFormat="1" applyFont="1" applyFill="1" applyBorder="1" applyAlignment="1">
      <alignment horizontal="justify" vertical="top" wrapText="1"/>
    </xf>
    <xf numFmtId="2" fontId="81" fillId="0" borderId="37" xfId="0" applyNumberFormat="1" applyFont="1" applyFill="1" applyBorder="1" applyAlignment="1">
      <alignment horizontal="center"/>
    </xf>
    <xf numFmtId="4" fontId="81" fillId="0" borderId="37" xfId="0" applyNumberFormat="1" applyFont="1" applyFill="1" applyBorder="1" applyAlignment="1">
      <alignment horizontal="center" vertical="top"/>
    </xf>
    <xf numFmtId="164" fontId="81" fillId="13" borderId="37" xfId="1" applyFont="1" applyFill="1" applyBorder="1" applyAlignment="1">
      <alignment horizontal="right" vertical="top"/>
    </xf>
    <xf numFmtId="164" fontId="81" fillId="13" borderId="110" xfId="1" applyFont="1" applyFill="1" applyBorder="1" applyAlignment="1">
      <alignment horizontal="right" vertical="top"/>
    </xf>
    <xf numFmtId="164" fontId="81" fillId="0" borderId="110" xfId="1" applyFont="1" applyFill="1" applyBorder="1" applyAlignment="1">
      <alignment horizontal="right" vertical="top"/>
    </xf>
    <xf numFmtId="4" fontId="81" fillId="0" borderId="69" xfId="0" applyNumberFormat="1" applyFont="1" applyFill="1" applyBorder="1" applyAlignment="1">
      <alignment horizontal="right" vertical="top"/>
    </xf>
    <xf numFmtId="4" fontId="81" fillId="0" borderId="0" xfId="0" applyNumberFormat="1" applyFont="1" applyFill="1" applyBorder="1" applyAlignment="1">
      <alignment vertical="center"/>
    </xf>
    <xf numFmtId="173" fontId="81" fillId="0" borderId="11" xfId="0" applyNumberFormat="1" applyFont="1" applyFill="1" applyBorder="1" applyAlignment="1">
      <alignment horizontal="center"/>
    </xf>
    <xf numFmtId="2" fontId="81" fillId="0" borderId="13" xfId="0" applyNumberFormat="1" applyFont="1" applyFill="1" applyBorder="1" applyAlignment="1">
      <alignment horizontal="center"/>
    </xf>
    <xf numFmtId="4" fontId="81" fillId="0" borderId="13" xfId="0" applyNumberFormat="1" applyFont="1" applyFill="1" applyBorder="1" applyAlignment="1">
      <alignment horizontal="center" vertical="top" wrapText="1"/>
    </xf>
    <xf numFmtId="4" fontId="81" fillId="0" borderId="13" xfId="0" applyNumberFormat="1" applyFont="1" applyFill="1" applyBorder="1" applyAlignment="1">
      <alignment horizontal="center" vertical="top"/>
    </xf>
    <xf numFmtId="164" fontId="81" fillId="13" borderId="13" xfId="1" applyFont="1" applyFill="1" applyBorder="1" applyAlignment="1">
      <alignment horizontal="right" vertical="top"/>
    </xf>
    <xf numFmtId="164" fontId="81" fillId="13" borderId="14" xfId="1" applyFont="1" applyFill="1" applyBorder="1" applyAlignment="1">
      <alignment horizontal="right" vertical="top"/>
    </xf>
    <xf numFmtId="164" fontId="81" fillId="0" borderId="14" xfId="1" applyFont="1" applyFill="1" applyBorder="1" applyAlignment="1">
      <alignment horizontal="right" vertical="top"/>
    </xf>
    <xf numFmtId="4" fontId="81" fillId="0" borderId="15" xfId="0" applyNumberFormat="1" applyFont="1" applyFill="1" applyBorder="1" applyAlignment="1">
      <alignment horizontal="right" vertical="top"/>
    </xf>
    <xf numFmtId="4" fontId="81" fillId="0" borderId="0" xfId="0" applyNumberFormat="1" applyFont="1" applyBorder="1" applyAlignment="1">
      <alignment vertical="top"/>
    </xf>
    <xf numFmtId="12" fontId="82" fillId="0" borderId="11" xfId="0" applyNumberFormat="1" applyFont="1" applyBorder="1" applyAlignment="1">
      <alignment horizontal="center" vertical="top"/>
    </xf>
    <xf numFmtId="4" fontId="82" fillId="0" borderId="11" xfId="0" applyNumberFormat="1" applyFont="1" applyBorder="1" applyAlignment="1">
      <alignment horizontal="center" vertical="top"/>
    </xf>
    <xf numFmtId="4" fontId="82" fillId="0" borderId="13" xfId="0" applyNumberFormat="1" applyFont="1" applyFill="1" applyBorder="1" applyAlignment="1">
      <alignment horizontal="center" vertical="center" wrapText="1"/>
    </xf>
    <xf numFmtId="4" fontId="82" fillId="0" borderId="13" xfId="0" applyNumberFormat="1" applyFont="1" applyFill="1" applyBorder="1" applyAlignment="1">
      <alignment horizontal="center" vertical="center"/>
    </xf>
    <xf numFmtId="164" fontId="82" fillId="13" borderId="13" xfId="1" applyFont="1" applyFill="1" applyBorder="1" applyAlignment="1">
      <alignment horizontal="right" vertical="center"/>
    </xf>
    <xf numFmtId="4" fontId="82" fillId="0" borderId="15" xfId="0" applyNumberFormat="1" applyFont="1" applyFill="1" applyBorder="1" applyAlignment="1">
      <alignment horizontal="right" vertical="center"/>
    </xf>
    <xf numFmtId="4" fontId="82" fillId="0" borderId="0" xfId="0" applyNumberFormat="1" applyFont="1" applyBorder="1" applyAlignment="1">
      <alignment vertical="center"/>
    </xf>
    <xf numFmtId="4" fontId="82" fillId="0" borderId="29" xfId="0" applyNumberFormat="1" applyFont="1" applyFill="1" applyBorder="1" applyAlignment="1">
      <alignment horizontal="justify" vertical="top" wrapText="1"/>
    </xf>
    <xf numFmtId="4" fontId="82" fillId="0" borderId="29" xfId="0" applyNumberFormat="1" applyFont="1" applyFill="1" applyBorder="1" applyAlignment="1">
      <alignment horizontal="center" vertical="top" wrapText="1"/>
    </xf>
    <xf numFmtId="4" fontId="82" fillId="0" borderId="29" xfId="0" applyNumberFormat="1" applyFont="1" applyFill="1" applyBorder="1" applyAlignment="1">
      <alignment horizontal="center" vertical="top"/>
    </xf>
    <xf numFmtId="164" fontId="82" fillId="13" borderId="29" xfId="1" applyFont="1" applyFill="1" applyBorder="1" applyAlignment="1">
      <alignment horizontal="right" vertical="top"/>
    </xf>
    <xf numFmtId="164" fontId="82" fillId="13" borderId="30" xfId="1" applyFont="1" applyFill="1" applyBorder="1" applyAlignment="1">
      <alignment horizontal="right" vertical="top"/>
    </xf>
    <xf numFmtId="164" fontId="82" fillId="0" borderId="30" xfId="1" applyFont="1" applyFill="1" applyBorder="1" applyAlignment="1">
      <alignment horizontal="right" vertical="top"/>
    </xf>
    <xf numFmtId="4" fontId="82" fillId="0" borderId="31" xfId="0" applyNumberFormat="1" applyFont="1" applyFill="1" applyBorder="1" applyAlignment="1">
      <alignment horizontal="right" vertical="top"/>
    </xf>
    <xf numFmtId="4" fontId="81" fillId="0" borderId="91" xfId="0" applyNumberFormat="1" applyFont="1" applyFill="1" applyBorder="1" applyAlignment="1">
      <alignment horizontal="right" vertical="top"/>
    </xf>
    <xf numFmtId="173" fontId="82" fillId="0" borderId="0" xfId="0" applyNumberFormat="1" applyFont="1" applyBorder="1" applyAlignment="1">
      <alignment horizontal="center" vertical="top"/>
    </xf>
    <xf numFmtId="4" fontId="82" fillId="0" borderId="0" xfId="0" applyNumberFormat="1" applyFont="1" applyBorder="1" applyAlignment="1">
      <alignment horizontal="justify" vertical="top"/>
    </xf>
    <xf numFmtId="4" fontId="82" fillId="0" borderId="0" xfId="0" applyNumberFormat="1" applyFont="1" applyBorder="1" applyAlignment="1">
      <alignment horizontal="center" vertical="top"/>
    </xf>
    <xf numFmtId="164" fontId="82" fillId="13" borderId="0" xfId="1" applyFont="1" applyFill="1" applyBorder="1" applyAlignment="1">
      <alignment horizontal="right" vertical="top"/>
    </xf>
    <xf numFmtId="164" fontId="82" fillId="0" borderId="0" xfId="1" applyFont="1" applyBorder="1" applyAlignment="1">
      <alignment horizontal="right" vertical="top"/>
    </xf>
    <xf numFmtId="4" fontId="82" fillId="0" borderId="0" xfId="0" applyNumberFormat="1" applyFont="1" applyBorder="1" applyAlignment="1">
      <alignment horizontal="right" vertical="top"/>
    </xf>
    <xf numFmtId="2" fontId="18" fillId="3" borderId="39" xfId="0" applyNumberFormat="1" applyFont="1" applyFill="1" applyBorder="1" applyAlignment="1">
      <alignment horizontal="center"/>
    </xf>
    <xf numFmtId="2" fontId="18" fillId="3" borderId="35" xfId="0" applyNumberFormat="1" applyFont="1" applyFill="1" applyBorder="1" applyAlignment="1">
      <alignment horizontal="center"/>
    </xf>
    <xf numFmtId="164" fontId="52" fillId="3" borderId="40" xfId="1" applyFont="1" applyFill="1" applyBorder="1" applyAlignment="1">
      <alignment horizontal="center"/>
    </xf>
    <xf numFmtId="2" fontId="31" fillId="3" borderId="27" xfId="0" applyNumberFormat="1" applyFont="1" applyFill="1" applyBorder="1" applyAlignment="1">
      <alignment horizontal="center" vertical="top"/>
    </xf>
    <xf numFmtId="2" fontId="31" fillId="3" borderId="28" xfId="0" applyNumberFormat="1" applyFont="1" applyFill="1" applyBorder="1" applyAlignment="1">
      <alignment horizontal="center"/>
    </xf>
    <xf numFmtId="2" fontId="31" fillId="3" borderId="11" xfId="0" applyNumberFormat="1" applyFont="1" applyFill="1" applyBorder="1" applyAlignment="1">
      <alignment horizontal="center" vertical="top"/>
    </xf>
    <xf numFmtId="2" fontId="31" fillId="3" borderId="0" xfId="0" applyNumberFormat="1" applyFont="1" applyFill="1" applyBorder="1" applyAlignment="1">
      <alignment horizontal="center"/>
    </xf>
    <xf numFmtId="164" fontId="32" fillId="3" borderId="69" xfId="1" applyFont="1" applyFill="1" applyBorder="1" applyAlignment="1"/>
    <xf numFmtId="2" fontId="32" fillId="3" borderId="11" xfId="0" applyNumberFormat="1" applyFont="1" applyFill="1" applyBorder="1" applyAlignment="1">
      <alignment horizontal="center" vertical="top"/>
    </xf>
    <xf numFmtId="2" fontId="32" fillId="3" borderId="0" xfId="0" applyNumberFormat="1" applyFont="1" applyFill="1" applyBorder="1" applyAlignment="1">
      <alignment horizontal="left"/>
    </xf>
    <xf numFmtId="164" fontId="32" fillId="3" borderId="15" xfId="1" applyFont="1" applyFill="1" applyBorder="1" applyAlignment="1"/>
    <xf numFmtId="0" fontId="32" fillId="3" borderId="120" xfId="0" applyFont="1" applyFill="1" applyBorder="1" applyAlignment="1">
      <alignment horizontal="center" vertical="top"/>
    </xf>
    <xf numFmtId="2" fontId="32" fillId="3" borderId="118" xfId="0" applyNumberFormat="1" applyFont="1" applyFill="1" applyBorder="1"/>
    <xf numFmtId="0" fontId="32" fillId="3" borderId="11" xfId="0" applyFont="1" applyFill="1" applyBorder="1" applyAlignment="1">
      <alignment horizontal="center" vertical="center"/>
    </xf>
    <xf numFmtId="2" fontId="32" fillId="3" borderId="0" xfId="0" applyNumberFormat="1" applyFont="1" applyFill="1" applyBorder="1" applyAlignment="1">
      <alignment vertical="center"/>
    </xf>
    <xf numFmtId="0" fontId="32" fillId="3" borderId="6" xfId="0" applyFont="1" applyFill="1" applyBorder="1" applyAlignment="1">
      <alignment horizontal="center" vertical="center"/>
    </xf>
    <xf numFmtId="2" fontId="31" fillId="3" borderId="44" xfId="0" applyNumberFormat="1" applyFont="1" applyFill="1" applyBorder="1" applyAlignment="1">
      <alignment vertical="center"/>
    </xf>
    <xf numFmtId="164" fontId="31" fillId="3" borderId="10" xfId="1" applyFont="1" applyFill="1" applyBorder="1" applyAlignment="1">
      <alignment vertical="center"/>
    </xf>
    <xf numFmtId="0" fontId="32" fillId="3" borderId="0" xfId="0" applyFont="1" applyFill="1" applyBorder="1" applyAlignment="1">
      <alignment horizontal="center" vertical="top"/>
    </xf>
    <xf numFmtId="0" fontId="32" fillId="3" borderId="0" xfId="0" applyFont="1" applyFill="1" applyBorder="1" applyAlignment="1">
      <alignment horizontal="justify"/>
    </xf>
    <xf numFmtId="164" fontId="32" fillId="3" borderId="0" xfId="1" applyFont="1" applyFill="1" applyBorder="1" applyAlignment="1">
      <alignment horizontal="center"/>
    </xf>
    <xf numFmtId="4" fontId="32" fillId="3" borderId="0" xfId="0" applyNumberFormat="1" applyFont="1" applyFill="1" applyBorder="1" applyAlignment="1">
      <alignment horizontal="center" vertical="top"/>
    </xf>
    <xf numFmtId="4" fontId="32" fillId="3" borderId="0" xfId="0" applyNumberFormat="1" applyFont="1" applyFill="1" applyBorder="1" applyAlignment="1">
      <alignment horizontal="justify" vertical="top"/>
    </xf>
    <xf numFmtId="164" fontId="32" fillId="3" borderId="0" xfId="1" applyFont="1" applyFill="1" applyBorder="1" applyAlignment="1">
      <alignment horizontal="right" vertical="top"/>
    </xf>
    <xf numFmtId="0" fontId="48" fillId="15" borderId="0" xfId="15" applyNumberFormat="1" applyFont="1" applyFill="1" applyBorder="1" applyAlignment="1">
      <alignment vertical="center" wrapText="1"/>
    </xf>
    <xf numFmtId="0" fontId="13" fillId="15" borderId="0" xfId="15" applyNumberFormat="1" applyFont="1" applyFill="1" applyAlignment="1">
      <alignment horizontal="center"/>
    </xf>
    <xf numFmtId="164" fontId="13" fillId="15" borderId="0" xfId="1" applyFont="1" applyFill="1" applyAlignment="1">
      <alignment horizontal="center"/>
    </xf>
    <xf numFmtId="0" fontId="44" fillId="15" borderId="0" xfId="15" applyNumberFormat="1" applyFont="1" applyFill="1" applyBorder="1" applyAlignment="1">
      <alignment wrapText="1"/>
    </xf>
    <xf numFmtId="0" fontId="45" fillId="15" borderId="0" xfId="15" applyNumberFormat="1" applyFont="1" applyFill="1" applyAlignment="1">
      <alignment horizontal="center"/>
    </xf>
    <xf numFmtId="164" fontId="45" fillId="15" borderId="0" xfId="1" applyFont="1" applyFill="1" applyAlignment="1">
      <alignment horizontal="center"/>
    </xf>
    <xf numFmtId="0" fontId="13" fillId="0" borderId="1" xfId="15" applyNumberFormat="1" applyFont="1" applyBorder="1" applyAlignment="1">
      <alignment horizontal="center"/>
    </xf>
    <xf numFmtId="0" fontId="13" fillId="0" borderId="2" xfId="15" applyNumberFormat="1" applyFont="1" applyBorder="1" applyAlignment="1">
      <alignment horizontal="center"/>
    </xf>
    <xf numFmtId="1" fontId="13" fillId="0" borderId="3" xfId="15" applyNumberFormat="1" applyFont="1" applyFill="1" applyBorder="1" applyAlignment="1">
      <alignment horizontal="left"/>
    </xf>
    <xf numFmtId="0" fontId="13" fillId="0" borderId="4" xfId="15" applyNumberFormat="1" applyFont="1" applyBorder="1" applyAlignment="1">
      <alignment horizontal="center"/>
    </xf>
    <xf numFmtId="1" fontId="13" fillId="0" borderId="5" xfId="15" applyNumberFormat="1" applyFont="1" applyFill="1" applyBorder="1" applyAlignment="1">
      <alignment horizontal="left"/>
    </xf>
    <xf numFmtId="0" fontId="44" fillId="0" borderId="4" xfId="15" applyNumberFormat="1" applyFont="1" applyBorder="1" applyAlignment="1"/>
    <xf numFmtId="0" fontId="44" fillId="0" borderId="5" xfId="15" applyNumberFormat="1" applyFont="1" applyBorder="1" applyAlignment="1"/>
    <xf numFmtId="0" fontId="44" fillId="0" borderId="4" xfId="15" applyNumberFormat="1" applyFont="1" applyBorder="1" applyAlignment="1">
      <alignment horizontal="center"/>
    </xf>
    <xf numFmtId="0" fontId="44" fillId="0" borderId="5" xfId="15" applyNumberFormat="1" applyFont="1" applyBorder="1" applyAlignment="1">
      <alignment horizontal="center"/>
    </xf>
    <xf numFmtId="0" fontId="46" fillId="0" borderId="4" xfId="15" applyNumberFormat="1" applyFont="1" applyBorder="1" applyAlignment="1">
      <alignment horizontal="center"/>
    </xf>
    <xf numFmtId="0" fontId="46" fillId="0" borderId="5" xfId="15" applyNumberFormat="1" applyFont="1" applyBorder="1" applyAlignment="1">
      <alignment horizontal="center"/>
    </xf>
    <xf numFmtId="0" fontId="47" fillId="0" borderId="4" xfId="15" applyNumberFormat="1" applyFont="1" applyBorder="1" applyAlignment="1">
      <alignment wrapText="1"/>
    </xf>
    <xf numFmtId="0" fontId="47" fillId="0" borderId="5" xfId="15" applyNumberFormat="1" applyFont="1" applyBorder="1" applyAlignment="1">
      <alignment wrapText="1"/>
    </xf>
    <xf numFmtId="0" fontId="13" fillId="0" borderId="5" xfId="15" applyNumberFormat="1" applyFont="1" applyBorder="1" applyAlignment="1">
      <alignment horizontal="center"/>
    </xf>
    <xf numFmtId="0" fontId="13" fillId="0" borderId="39" xfId="15" applyNumberFormat="1" applyFont="1" applyBorder="1" applyAlignment="1">
      <alignment horizontal="center"/>
    </xf>
    <xf numFmtId="0" fontId="13" fillId="0" borderId="35" xfId="15" applyNumberFormat="1" applyFont="1" applyBorder="1" applyAlignment="1">
      <alignment horizontal="center"/>
    </xf>
    <xf numFmtId="1" fontId="13" fillId="0" borderId="40" xfId="15" applyNumberFormat="1" applyFont="1" applyFill="1" applyBorder="1" applyAlignment="1">
      <alignment horizontal="left"/>
    </xf>
    <xf numFmtId="173" fontId="81" fillId="0" borderId="27" xfId="0" applyNumberFormat="1" applyFont="1" applyBorder="1" applyAlignment="1">
      <alignment horizontal="center" vertical="top"/>
    </xf>
    <xf numFmtId="4" fontId="81" fillId="0" borderId="29" xfId="0" applyNumberFormat="1" applyFont="1" applyFill="1" applyBorder="1" applyAlignment="1">
      <alignment horizontal="justify" vertical="top" wrapText="1"/>
    </xf>
    <xf numFmtId="164" fontId="82" fillId="13" borderId="30" xfId="1" applyFont="1" applyFill="1" applyBorder="1" applyAlignment="1">
      <alignment horizontal="right" vertical="center"/>
    </xf>
    <xf numFmtId="164" fontId="82" fillId="3" borderId="128" xfId="1" applyFont="1" applyFill="1" applyBorder="1" applyAlignment="1">
      <alignment horizontal="left" vertical="center"/>
    </xf>
    <xf numFmtId="173" fontId="82" fillId="0" borderId="36" xfId="0" applyNumberFormat="1" applyFont="1" applyBorder="1" applyAlignment="1">
      <alignment horizontal="center" vertical="top"/>
    </xf>
    <xf numFmtId="4" fontId="82" fillId="0" borderId="37" xfId="0" applyNumberFormat="1" applyFont="1" applyFill="1" applyBorder="1" applyAlignment="1">
      <alignment horizontal="justify" vertical="top" wrapText="1"/>
    </xf>
    <xf numFmtId="4" fontId="82" fillId="0" borderId="37" xfId="0" applyNumberFormat="1" applyFont="1" applyFill="1" applyBorder="1" applyAlignment="1">
      <alignment horizontal="center" vertical="top" wrapText="1"/>
    </xf>
    <xf numFmtId="4" fontId="82" fillId="0" borderId="37" xfId="0" applyNumberFormat="1" applyFont="1" applyFill="1" applyBorder="1" applyAlignment="1">
      <alignment horizontal="center" vertical="top"/>
    </xf>
    <xf numFmtId="164" fontId="82" fillId="13" borderId="37" xfId="1" applyFont="1" applyFill="1" applyBorder="1" applyAlignment="1">
      <alignment horizontal="right" vertical="top"/>
    </xf>
    <xf numFmtId="164" fontId="82" fillId="13" borderId="110" xfId="1" applyFont="1" applyFill="1" applyBorder="1" applyAlignment="1">
      <alignment horizontal="right" vertical="top"/>
    </xf>
    <xf numFmtId="164" fontId="82" fillId="0" borderId="110" xfId="1" applyFont="1" applyFill="1" applyBorder="1" applyAlignment="1">
      <alignment horizontal="right" vertical="top"/>
    </xf>
    <xf numFmtId="4" fontId="82" fillId="0" borderId="69" xfId="0" applyNumberFormat="1" applyFont="1" applyFill="1" applyBorder="1" applyAlignment="1">
      <alignment horizontal="right" vertical="top"/>
    </xf>
    <xf numFmtId="173" fontId="82" fillId="0" borderId="27" xfId="0" applyNumberFormat="1" applyFont="1" applyBorder="1" applyAlignment="1">
      <alignment horizontal="center" vertical="top"/>
    </xf>
    <xf numFmtId="4" fontId="31" fillId="0" borderId="83" xfId="0" applyNumberFormat="1" applyFont="1" applyFill="1" applyBorder="1" applyAlignment="1">
      <alignment horizontal="center" vertical="center"/>
    </xf>
    <xf numFmtId="164" fontId="31" fillId="3" borderId="31" xfId="1" applyFont="1" applyFill="1" applyBorder="1" applyAlignment="1">
      <alignment horizontal="center"/>
    </xf>
    <xf numFmtId="4" fontId="13" fillId="0" borderId="29" xfId="0" applyNumberFormat="1" applyFont="1" applyFill="1" applyBorder="1" applyAlignment="1">
      <alignment horizontal="justify" vertical="center" wrapText="1"/>
    </xf>
    <xf numFmtId="4" fontId="15" fillId="0" borderId="29" xfId="0" applyNumberFormat="1" applyFont="1" applyFill="1" applyBorder="1" applyAlignment="1">
      <alignment horizontal="right" vertical="center" wrapText="1"/>
    </xf>
    <xf numFmtId="4" fontId="15" fillId="13" borderId="128" xfId="0" applyNumberFormat="1" applyFont="1" applyFill="1" applyBorder="1" applyAlignment="1">
      <alignment horizontal="center" vertical="center"/>
    </xf>
    <xf numFmtId="4" fontId="23" fillId="0" borderId="37" xfId="0" applyNumberFormat="1" applyFont="1" applyFill="1" applyBorder="1" applyAlignment="1">
      <alignment horizontal="justify" vertical="center" wrapText="1"/>
    </xf>
    <xf numFmtId="4" fontId="15" fillId="3" borderId="29" xfId="0" applyNumberFormat="1" applyFont="1" applyFill="1" applyBorder="1" applyAlignment="1">
      <alignment horizontal="left" vertical="top" wrapText="1"/>
    </xf>
    <xf numFmtId="4" fontId="15" fillId="3" borderId="37" xfId="0" applyNumberFormat="1" applyFont="1" applyFill="1" applyBorder="1" applyAlignment="1">
      <alignment horizontal="justify" vertical="center" wrapText="1"/>
    </xf>
    <xf numFmtId="4" fontId="15" fillId="3" borderId="37" xfId="0" applyNumberFormat="1" applyFont="1" applyFill="1" applyBorder="1" applyAlignment="1">
      <alignment horizontal="right" vertical="center" wrapText="1"/>
    </xf>
    <xf numFmtId="4" fontId="15" fillId="3" borderId="37" xfId="0" applyNumberFormat="1" applyFont="1" applyFill="1" applyBorder="1" applyAlignment="1">
      <alignment horizontal="center" vertical="center"/>
    </xf>
    <xf numFmtId="164" fontId="15" fillId="3" borderId="37" xfId="1" applyFont="1" applyFill="1" applyBorder="1" applyAlignment="1">
      <alignment horizontal="right" vertical="center"/>
    </xf>
    <xf numFmtId="4" fontId="15" fillId="3" borderId="69" xfId="0" applyNumberFormat="1" applyFont="1" applyFill="1" applyBorder="1" applyAlignment="1">
      <alignment horizontal="right" vertical="center"/>
    </xf>
    <xf numFmtId="164" fontId="32" fillId="3" borderId="15" xfId="1" applyFont="1" applyFill="1" applyBorder="1" applyAlignment="1">
      <alignment vertical="center"/>
    </xf>
    <xf numFmtId="0" fontId="13" fillId="3" borderId="11" xfId="0" applyFont="1" applyFill="1" applyBorder="1" applyAlignment="1">
      <alignment horizontal="center" vertical="center"/>
    </xf>
    <xf numFmtId="2" fontId="13" fillId="3" borderId="0" xfId="0" applyNumberFormat="1" applyFont="1" applyFill="1" applyBorder="1" applyAlignment="1">
      <alignment vertical="center"/>
    </xf>
    <xf numFmtId="164" fontId="13" fillId="3" borderId="15" xfId="1" applyFont="1" applyFill="1" applyBorder="1" applyAlignment="1">
      <alignment vertical="center"/>
    </xf>
    <xf numFmtId="0" fontId="31" fillId="3" borderId="0" xfId="0" applyFont="1" applyFill="1" applyBorder="1" applyAlignment="1">
      <alignment horizontal="left" vertical="center"/>
    </xf>
    <xf numFmtId="164" fontId="31" fillId="3" borderId="15" xfId="1" applyFont="1" applyFill="1" applyBorder="1" applyAlignment="1">
      <alignment vertical="center"/>
    </xf>
    <xf numFmtId="0" fontId="32" fillId="3" borderId="0" xfId="0" applyFont="1" applyFill="1" applyBorder="1" applyAlignment="1">
      <alignment horizontal="justify" vertical="center"/>
    </xf>
    <xf numFmtId="0" fontId="13" fillId="3" borderId="0" xfId="0" applyFont="1" applyFill="1" applyBorder="1" applyAlignment="1">
      <alignment horizontal="justify" vertical="center"/>
    </xf>
    <xf numFmtId="164" fontId="31" fillId="3" borderId="15" xfId="1" applyFont="1" applyFill="1" applyBorder="1" applyAlignment="1">
      <alignment vertical="center" wrapText="1"/>
    </xf>
    <xf numFmtId="164" fontId="13" fillId="3" borderId="15" xfId="1" applyFont="1" applyFill="1" applyBorder="1" applyAlignment="1">
      <alignment vertical="center" wrapText="1"/>
    </xf>
    <xf numFmtId="2" fontId="32" fillId="3" borderId="0" xfId="0" applyNumberFormat="1" applyFont="1" applyFill="1" applyBorder="1" applyAlignment="1">
      <alignment horizontal="left" wrapText="1"/>
    </xf>
    <xf numFmtId="164" fontId="32" fillId="3" borderId="15" xfId="1" applyFont="1" applyFill="1" applyBorder="1" applyAlignment="1">
      <alignment wrapText="1"/>
    </xf>
    <xf numFmtId="2" fontId="23" fillId="3" borderId="0" xfId="0" applyNumberFormat="1" applyFont="1" applyFill="1" applyBorder="1" applyAlignment="1">
      <alignment horizontal="left" wrapText="1"/>
    </xf>
    <xf numFmtId="164" fontId="13" fillId="3" borderId="15" xfId="1" applyFont="1" applyFill="1" applyBorder="1" applyAlignment="1">
      <alignment wrapText="1"/>
    </xf>
    <xf numFmtId="2" fontId="31" fillId="16" borderId="6" xfId="0" applyNumberFormat="1" applyFont="1" applyFill="1" applyBorder="1" applyAlignment="1">
      <alignment horizontal="center" vertical="top"/>
    </xf>
    <xf numFmtId="2" fontId="31" fillId="16" borderId="7" xfId="0" applyNumberFormat="1" applyFont="1" applyFill="1" applyBorder="1" applyAlignment="1">
      <alignment horizontal="center"/>
    </xf>
    <xf numFmtId="164" fontId="31" fillId="16" borderId="10" xfId="1" applyFont="1" applyFill="1" applyBorder="1" applyAlignment="1">
      <alignment horizontal="center"/>
    </xf>
    <xf numFmtId="0" fontId="31" fillId="3" borderId="11" xfId="0" applyFont="1" applyFill="1" applyBorder="1" applyAlignment="1">
      <alignment horizontal="center" vertical="center"/>
    </xf>
    <xf numFmtId="0" fontId="23" fillId="3" borderId="11" xfId="0" applyFont="1" applyFill="1" applyBorder="1" applyAlignment="1">
      <alignment horizontal="center" vertical="center"/>
    </xf>
    <xf numFmtId="0" fontId="31" fillId="3" borderId="11" xfId="0" applyFont="1" applyFill="1" applyBorder="1" applyAlignment="1">
      <alignment horizontal="center" vertical="center" wrapText="1"/>
    </xf>
    <xf numFmtId="0" fontId="23" fillId="3" borderId="11" xfId="0" applyFont="1" applyFill="1" applyBorder="1" applyAlignment="1">
      <alignment horizontal="center" vertical="center" wrapText="1"/>
    </xf>
    <xf numFmtId="0" fontId="31" fillId="3" borderId="11" xfId="0" applyFont="1" applyFill="1" applyBorder="1" applyAlignment="1">
      <alignment horizontal="center" vertical="top" wrapText="1"/>
    </xf>
    <xf numFmtId="0" fontId="23" fillId="3" borderId="11" xfId="0" applyFont="1" applyFill="1" applyBorder="1" applyAlignment="1">
      <alignment horizontal="center" vertical="top" wrapText="1"/>
    </xf>
    <xf numFmtId="0" fontId="32" fillId="13" borderId="11" xfId="0" applyFont="1" applyFill="1" applyBorder="1" applyAlignment="1">
      <alignment horizontal="center" vertical="center"/>
    </xf>
    <xf numFmtId="0" fontId="32" fillId="13" borderId="24" xfId="0" applyFont="1" applyFill="1" applyBorder="1" applyAlignment="1">
      <alignment horizontal="justify" vertical="center"/>
    </xf>
    <xf numFmtId="164" fontId="32" fillId="13" borderId="15" xfId="1" applyFont="1" applyFill="1" applyBorder="1" applyAlignment="1">
      <alignment vertical="center"/>
    </xf>
    <xf numFmtId="0" fontId="31" fillId="13" borderId="27" xfId="0" applyFont="1" applyFill="1" applyBorder="1" applyAlignment="1">
      <alignment horizontal="center" vertical="top" wrapText="1"/>
    </xf>
    <xf numFmtId="2" fontId="31" fillId="13" borderId="35" xfId="0" applyNumberFormat="1" applyFont="1" applyFill="1" applyBorder="1" applyAlignment="1">
      <alignment horizontal="left"/>
    </xf>
    <xf numFmtId="164" fontId="31" fillId="13" borderId="31" xfId="1" applyFont="1" applyFill="1" applyBorder="1" applyAlignment="1">
      <alignment wrapText="1"/>
    </xf>
    <xf numFmtId="164" fontId="15" fillId="3" borderId="129" xfId="38" applyFont="1" applyFill="1" applyBorder="1" applyAlignment="1">
      <alignment horizontal="right" vertical="center"/>
    </xf>
    <xf numFmtId="4" fontId="15" fillId="0" borderId="130" xfId="0" applyNumberFormat="1" applyFont="1" applyFill="1" applyBorder="1" applyAlignment="1">
      <alignment horizontal="right" vertical="center"/>
    </xf>
    <xf numFmtId="164" fontId="15" fillId="3" borderId="13" xfId="38" applyFont="1" applyFill="1" applyBorder="1" applyAlignment="1">
      <alignment horizontal="right" vertical="center"/>
    </xf>
    <xf numFmtId="164" fontId="15" fillId="3" borderId="114" xfId="38" applyFont="1" applyFill="1" applyBorder="1" applyAlignment="1">
      <alignment horizontal="right" vertical="center"/>
    </xf>
    <xf numFmtId="4" fontId="15" fillId="0" borderId="131" xfId="0" applyNumberFormat="1" applyFont="1" applyFill="1" applyBorder="1" applyAlignment="1">
      <alignment horizontal="right" vertical="center"/>
    </xf>
    <xf numFmtId="164" fontId="15" fillId="3" borderId="121" xfId="1" applyFont="1" applyFill="1" applyBorder="1" applyAlignment="1">
      <alignment horizontal="left" vertical="center"/>
    </xf>
    <xf numFmtId="4" fontId="15" fillId="3" borderId="132" xfId="0" applyNumberFormat="1" applyFont="1" applyFill="1" applyBorder="1" applyAlignment="1">
      <alignment horizontal="center" vertical="top"/>
    </xf>
    <xf numFmtId="4" fontId="15" fillId="3" borderId="121" xfId="0" applyNumberFormat="1" applyFont="1" applyFill="1" applyBorder="1" applyAlignment="1">
      <alignment horizontal="justify" vertical="top" wrapText="1"/>
    </xf>
    <xf numFmtId="4" fontId="15" fillId="3" borderId="121" xfId="0" applyNumberFormat="1" applyFont="1" applyFill="1" applyBorder="1" applyAlignment="1">
      <alignment horizontal="right" vertical="top" wrapText="1"/>
    </xf>
    <xf numFmtId="4" fontId="15" fillId="3" borderId="121" xfId="0" applyNumberFormat="1" applyFont="1" applyFill="1" applyBorder="1" applyAlignment="1">
      <alignment horizontal="center" vertical="top"/>
    </xf>
    <xf numFmtId="164" fontId="15" fillId="13" borderId="121" xfId="1" applyFont="1" applyFill="1" applyBorder="1" applyAlignment="1">
      <alignment horizontal="right" vertical="top"/>
    </xf>
    <xf numFmtId="164" fontId="15" fillId="13" borderId="122" xfId="1" applyFont="1" applyFill="1" applyBorder="1" applyAlignment="1">
      <alignment horizontal="right" vertical="top"/>
    </xf>
    <xf numFmtId="164" fontId="15" fillId="0" borderId="122" xfId="1" applyFont="1" applyFill="1" applyBorder="1" applyAlignment="1">
      <alignment horizontal="right" vertical="top"/>
    </xf>
    <xf numFmtId="4" fontId="15" fillId="0" borderId="123" xfId="0" applyNumberFormat="1" applyFont="1" applyFill="1" applyBorder="1" applyAlignment="1">
      <alignment horizontal="right" vertical="top"/>
    </xf>
    <xf numFmtId="164" fontId="15" fillId="3" borderId="133" xfId="1" applyFont="1" applyFill="1" applyBorder="1" applyAlignment="1">
      <alignment horizontal="left" vertical="center"/>
    </xf>
    <xf numFmtId="4" fontId="15" fillId="0" borderId="134" xfId="0" applyNumberFormat="1" applyFont="1" applyFill="1" applyBorder="1" applyAlignment="1">
      <alignment horizontal="right" vertical="center"/>
    </xf>
    <xf numFmtId="164" fontId="15" fillId="13" borderId="133" xfId="1" applyFont="1" applyFill="1" applyBorder="1" applyAlignment="1">
      <alignment horizontal="right" vertical="center"/>
    </xf>
    <xf numFmtId="164" fontId="82" fillId="3" borderId="135" xfId="1" applyFont="1" applyFill="1" applyBorder="1" applyAlignment="1">
      <alignment horizontal="left" vertical="center"/>
    </xf>
    <xf numFmtId="164" fontId="82" fillId="3" borderId="13" xfId="1" applyFont="1" applyFill="1" applyBorder="1" applyAlignment="1">
      <alignment horizontal="left" vertical="center"/>
    </xf>
    <xf numFmtId="164" fontId="82" fillId="3" borderId="121" xfId="1" applyFont="1" applyFill="1" applyBorder="1" applyAlignment="1">
      <alignment horizontal="left" vertical="center"/>
    </xf>
    <xf numFmtId="4" fontId="32" fillId="0" borderId="13" xfId="15" applyNumberFormat="1" applyFont="1" applyFill="1" applyBorder="1" applyAlignment="1">
      <alignment horizontal="left" vertical="top" wrapText="1"/>
    </xf>
    <xf numFmtId="4" fontId="15" fillId="0" borderId="13" xfId="0" applyNumberFormat="1" applyFont="1" applyFill="1" applyBorder="1" applyAlignment="1">
      <alignment horizontal="center" vertical="center"/>
    </xf>
    <xf numFmtId="0" fontId="13" fillId="3" borderId="2" xfId="15" applyNumberFormat="1" applyFont="1" applyFill="1" applyBorder="1" applyAlignment="1">
      <alignment horizontal="center"/>
    </xf>
    <xf numFmtId="0" fontId="13" fillId="3" borderId="0" xfId="15" applyNumberFormat="1" applyFont="1" applyFill="1" applyBorder="1" applyAlignment="1">
      <alignment horizontal="center"/>
    </xf>
    <xf numFmtId="0" fontId="44" fillId="3" borderId="0" xfId="15" applyNumberFormat="1" applyFont="1" applyFill="1" applyBorder="1" applyAlignment="1"/>
    <xf numFmtId="0" fontId="44" fillId="3" borderId="0" xfId="15" applyNumberFormat="1" applyFont="1" applyFill="1" applyBorder="1" applyAlignment="1">
      <alignment horizontal="center"/>
    </xf>
    <xf numFmtId="0" fontId="46" fillId="3" borderId="0" xfId="15" applyNumberFormat="1" applyFont="1" applyFill="1" applyBorder="1" applyAlignment="1">
      <alignment horizontal="center"/>
    </xf>
    <xf numFmtId="0" fontId="47" fillId="3" borderId="0" xfId="15" applyNumberFormat="1" applyFont="1" applyFill="1" applyBorder="1" applyAlignment="1">
      <alignment wrapText="1"/>
    </xf>
    <xf numFmtId="0" fontId="13" fillId="3" borderId="35" xfId="15" applyNumberFormat="1" applyFont="1" applyFill="1" applyBorder="1" applyAlignment="1">
      <alignment horizontal="center"/>
    </xf>
    <xf numFmtId="0" fontId="13" fillId="3" borderId="0" xfId="15" applyNumberFormat="1" applyFont="1" applyFill="1" applyAlignment="1">
      <alignment horizontal="center"/>
    </xf>
    <xf numFmtId="0" fontId="13" fillId="17" borderId="2" xfId="15" applyNumberFormat="1" applyFont="1" applyFill="1" applyBorder="1" applyAlignment="1">
      <alignment horizontal="center"/>
    </xf>
    <xf numFmtId="0" fontId="13" fillId="17" borderId="0" xfId="15" applyNumberFormat="1" applyFont="1" applyFill="1" applyBorder="1" applyAlignment="1">
      <alignment horizontal="center"/>
    </xf>
    <xf numFmtId="0" fontId="44" fillId="17" borderId="0" xfId="15" applyNumberFormat="1" applyFont="1" applyFill="1" applyBorder="1" applyAlignment="1"/>
    <xf numFmtId="0" fontId="44" fillId="17" borderId="0" xfId="15" applyNumberFormat="1" applyFont="1" applyFill="1" applyBorder="1" applyAlignment="1">
      <alignment horizontal="center"/>
    </xf>
    <xf numFmtId="0" fontId="46" fillId="17" borderId="0" xfId="15" applyNumberFormat="1" applyFont="1" applyFill="1" applyBorder="1" applyAlignment="1">
      <alignment horizontal="center"/>
    </xf>
    <xf numFmtId="0" fontId="47" fillId="17" borderId="0" xfId="15" applyNumberFormat="1" applyFont="1" applyFill="1" applyBorder="1" applyAlignment="1">
      <alignment wrapText="1"/>
    </xf>
    <xf numFmtId="0" fontId="13" fillId="17" borderId="35" xfId="15" applyNumberFormat="1" applyFont="1" applyFill="1" applyBorder="1" applyAlignment="1">
      <alignment horizontal="center"/>
    </xf>
    <xf numFmtId="0" fontId="13" fillId="17" borderId="0" xfId="15" applyNumberFormat="1" applyFont="1" applyFill="1" applyAlignment="1">
      <alignment horizontal="center"/>
    </xf>
    <xf numFmtId="1" fontId="13" fillId="18" borderId="2" xfId="15" applyNumberFormat="1" applyFont="1" applyFill="1" applyBorder="1" applyAlignment="1">
      <alignment horizontal="right"/>
    </xf>
    <xf numFmtId="1" fontId="13" fillId="18" borderId="0" xfId="15" applyNumberFormat="1" applyFont="1" applyFill="1" applyBorder="1" applyAlignment="1">
      <alignment horizontal="right"/>
    </xf>
    <xf numFmtId="0" fontId="44" fillId="18" borderId="0" xfId="15" applyNumberFormat="1" applyFont="1" applyFill="1" applyBorder="1" applyAlignment="1"/>
    <xf numFmtId="0" fontId="44" fillId="18" borderId="0" xfId="15" applyNumberFormat="1" applyFont="1" applyFill="1" applyBorder="1" applyAlignment="1">
      <alignment horizontal="center"/>
    </xf>
    <xf numFmtId="0" fontId="46" fillId="18" borderId="0" xfId="15" applyNumberFormat="1" applyFont="1" applyFill="1" applyBorder="1" applyAlignment="1">
      <alignment horizontal="center"/>
    </xf>
    <xf numFmtId="0" fontId="47" fillId="18" borderId="0" xfId="15" applyNumberFormat="1" applyFont="1" applyFill="1" applyBorder="1" applyAlignment="1">
      <alignment wrapText="1"/>
    </xf>
    <xf numFmtId="0" fontId="13" fillId="18" borderId="0" xfId="15" applyNumberFormat="1" applyFont="1" applyFill="1" applyBorder="1" applyAlignment="1">
      <alignment horizontal="center"/>
    </xf>
    <xf numFmtId="1" fontId="13" fillId="18" borderId="35" xfId="15" applyNumberFormat="1" applyFont="1" applyFill="1" applyBorder="1" applyAlignment="1">
      <alignment horizontal="right"/>
    </xf>
    <xf numFmtId="1" fontId="13" fillId="18" borderId="0" xfId="15" applyNumberFormat="1" applyFont="1" applyFill="1" applyAlignment="1">
      <alignment horizontal="right"/>
    </xf>
    <xf numFmtId="4" fontId="84" fillId="17" borderId="0" xfId="0" applyNumberFormat="1" applyFont="1" applyFill="1" applyBorder="1" applyAlignment="1">
      <alignment vertical="top"/>
    </xf>
    <xf numFmtId="4" fontId="15" fillId="13" borderId="0" xfId="0" applyNumberFormat="1" applyFont="1" applyFill="1" applyBorder="1" applyAlignment="1">
      <alignment vertical="top" wrapText="1"/>
    </xf>
    <xf numFmtId="0" fontId="48" fillId="2" borderId="54" xfId="15" applyNumberFormat="1" applyFont="1" applyFill="1" applyBorder="1" applyAlignment="1">
      <alignment horizontal="center" vertical="center" wrapText="1"/>
    </xf>
    <xf numFmtId="0" fontId="48" fillId="2" borderId="68" xfId="15" applyNumberFormat="1" applyFont="1" applyFill="1" applyBorder="1" applyAlignment="1">
      <alignment horizontal="center" vertical="center" wrapText="1"/>
    </xf>
    <xf numFmtId="0" fontId="48" fillId="2" borderId="46" xfId="15" applyNumberFormat="1" applyFont="1" applyFill="1" applyBorder="1" applyAlignment="1">
      <alignment horizontal="center" vertical="center" wrapText="1"/>
    </xf>
    <xf numFmtId="0" fontId="44" fillId="2" borderId="54" xfId="15" applyNumberFormat="1" applyFont="1" applyFill="1" applyBorder="1" applyAlignment="1">
      <alignment horizontal="center" vertical="center" wrapText="1"/>
    </xf>
    <xf numFmtId="0" fontId="44" fillId="2" borderId="68" xfId="15" applyNumberFormat="1" applyFont="1" applyFill="1" applyBorder="1" applyAlignment="1">
      <alignment horizontal="center" vertical="center" wrapText="1"/>
    </xf>
    <xf numFmtId="0" fontId="44" fillId="2" borderId="46" xfId="15" applyNumberFormat="1" applyFont="1" applyFill="1" applyBorder="1" applyAlignment="1">
      <alignment horizontal="center" vertical="center" wrapText="1"/>
    </xf>
    <xf numFmtId="4" fontId="83" fillId="19" borderId="1" xfId="0" applyNumberFormat="1" applyFont="1" applyFill="1" applyBorder="1" applyAlignment="1">
      <alignment horizontal="center" vertical="center" wrapText="1"/>
    </xf>
    <xf numFmtId="4" fontId="83" fillId="19" borderId="2" xfId="0" applyNumberFormat="1" applyFont="1" applyFill="1" applyBorder="1" applyAlignment="1">
      <alignment horizontal="center" vertical="center" wrapText="1"/>
    </xf>
    <xf numFmtId="4" fontId="83" fillId="19" borderId="3" xfId="0" applyNumberFormat="1" applyFont="1" applyFill="1" applyBorder="1" applyAlignment="1">
      <alignment horizontal="center" vertical="center" wrapText="1"/>
    </xf>
    <xf numFmtId="0" fontId="32" fillId="0" borderId="2" xfId="0" applyFont="1" applyFill="1" applyBorder="1" applyAlignment="1">
      <alignment horizontal="left" vertical="top" wrapText="1"/>
    </xf>
    <xf numFmtId="0" fontId="15" fillId="0" borderId="0" xfId="0" applyFont="1" applyFill="1" applyBorder="1" applyAlignment="1">
      <alignment horizontal="left" vertical="center" wrapText="1"/>
    </xf>
    <xf numFmtId="0" fontId="15" fillId="0" borderId="0" xfId="0" applyFont="1" applyFill="1" applyBorder="1" applyAlignment="1">
      <alignment horizontal="left"/>
    </xf>
    <xf numFmtId="0" fontId="15" fillId="0" borderId="0" xfId="0" applyFont="1" applyFill="1" applyBorder="1" applyAlignment="1">
      <alignment horizontal="left" vertical="top" wrapText="1"/>
    </xf>
    <xf numFmtId="0" fontId="15" fillId="0" borderId="0" xfId="0" applyFont="1" applyFill="1" applyBorder="1" applyAlignment="1">
      <alignment wrapText="1"/>
    </xf>
    <xf numFmtId="0" fontId="15" fillId="0" borderId="0" xfId="0" applyFont="1" applyFill="1" applyBorder="1" applyAlignment="1">
      <alignment horizontal="left" wrapText="1"/>
    </xf>
    <xf numFmtId="4" fontId="31" fillId="16" borderId="43" xfId="0" applyNumberFormat="1" applyFont="1" applyFill="1" applyBorder="1" applyAlignment="1">
      <alignment horizontal="center" vertical="center" wrapText="1"/>
    </xf>
    <xf numFmtId="4" fontId="31" fillId="16" borderId="44" xfId="0" applyNumberFormat="1" applyFont="1" applyFill="1" applyBorder="1" applyAlignment="1">
      <alignment horizontal="center" vertical="center" wrapText="1"/>
    </xf>
    <xf numFmtId="4" fontId="31" fillId="16" borderId="45" xfId="0" applyNumberFormat="1" applyFont="1" applyFill="1" applyBorder="1" applyAlignment="1">
      <alignment horizontal="center" vertical="center" wrapText="1"/>
    </xf>
    <xf numFmtId="2" fontId="31" fillId="3" borderId="4" xfId="0" applyNumberFormat="1" applyFont="1" applyFill="1" applyBorder="1" applyAlignment="1">
      <alignment horizontal="center"/>
    </xf>
    <xf numFmtId="2" fontId="31" fillId="3" borderId="0" xfId="0" applyNumberFormat="1" applyFont="1" applyFill="1" applyBorder="1" applyAlignment="1">
      <alignment horizontal="center"/>
    </xf>
    <xf numFmtId="2" fontId="31" fillId="3" borderId="5" xfId="0" applyNumberFormat="1" applyFont="1" applyFill="1" applyBorder="1" applyAlignment="1">
      <alignment horizontal="center"/>
    </xf>
    <xf numFmtId="4" fontId="83" fillId="17" borderId="1" xfId="0" applyNumberFormat="1" applyFont="1" applyFill="1" applyBorder="1" applyAlignment="1">
      <alignment horizontal="center" vertical="center" wrapText="1"/>
    </xf>
    <xf numFmtId="4" fontId="83" fillId="17" borderId="2" xfId="0" applyNumberFormat="1" applyFont="1" applyFill="1" applyBorder="1" applyAlignment="1">
      <alignment horizontal="center" vertical="center" wrapText="1"/>
    </xf>
    <xf numFmtId="4" fontId="83" fillId="17" borderId="3" xfId="0" applyNumberFormat="1" applyFont="1" applyFill="1" applyBorder="1" applyAlignment="1">
      <alignment horizontal="center" vertical="center" wrapText="1"/>
    </xf>
    <xf numFmtId="4" fontId="16" fillId="0" borderId="43" xfId="0" applyNumberFormat="1" applyFont="1" applyFill="1" applyBorder="1" applyAlignment="1">
      <alignment horizontal="left" vertical="center" wrapText="1"/>
    </xf>
    <xf numFmtId="4" fontId="16" fillId="0" borderId="44" xfId="0" applyNumberFormat="1" applyFont="1" applyFill="1" applyBorder="1" applyAlignment="1">
      <alignment horizontal="left" vertical="center" wrapText="1"/>
    </xf>
    <xf numFmtId="4" fontId="16" fillId="0" borderId="45" xfId="0" applyNumberFormat="1" applyFont="1" applyFill="1" applyBorder="1" applyAlignment="1">
      <alignment horizontal="left" vertical="center" wrapText="1"/>
    </xf>
    <xf numFmtId="4" fontId="32" fillId="0" borderId="13" xfId="15" applyNumberFormat="1" applyFont="1" applyFill="1" applyBorder="1" applyAlignment="1">
      <alignment horizontal="center" vertical="center" wrapText="1"/>
    </xf>
    <xf numFmtId="4" fontId="32" fillId="0" borderId="13" xfId="15" applyNumberFormat="1" applyFont="1" applyFill="1" applyBorder="1" applyAlignment="1">
      <alignment horizontal="center" vertical="center"/>
    </xf>
    <xf numFmtId="4" fontId="32" fillId="0" borderId="29" xfId="15" applyNumberFormat="1" applyFont="1" applyFill="1" applyBorder="1" applyAlignment="1">
      <alignment horizontal="center" vertical="center" wrapText="1"/>
    </xf>
    <xf numFmtId="4" fontId="32" fillId="0" borderId="29" xfId="15" applyNumberFormat="1" applyFont="1" applyFill="1" applyBorder="1" applyAlignment="1">
      <alignment horizontal="center" vertical="center"/>
    </xf>
    <xf numFmtId="4" fontId="81" fillId="0" borderId="43" xfId="0" applyNumberFormat="1" applyFont="1" applyFill="1" applyBorder="1" applyAlignment="1">
      <alignment horizontal="left" vertical="center" wrapText="1"/>
    </xf>
    <xf numFmtId="4" fontId="81" fillId="0" borderId="44" xfId="0" applyNumberFormat="1" applyFont="1" applyFill="1" applyBorder="1" applyAlignment="1">
      <alignment horizontal="left" vertical="center" wrapText="1"/>
    </xf>
    <xf numFmtId="4" fontId="81" fillId="0" borderId="45" xfId="0" applyNumberFormat="1" applyFont="1" applyFill="1" applyBorder="1" applyAlignment="1">
      <alignment horizontal="left" vertical="center" wrapText="1"/>
    </xf>
    <xf numFmtId="164" fontId="69" fillId="10" borderId="53" xfId="37" applyNumberFormat="1" applyFont="1" applyFill="1" applyBorder="1" applyAlignment="1">
      <alignment horizontal="center"/>
    </xf>
    <xf numFmtId="164" fontId="69" fillId="0" borderId="1" xfId="37" applyNumberFormat="1" applyFont="1" applyBorder="1" applyAlignment="1">
      <alignment horizontal="left"/>
    </xf>
    <xf numFmtId="164" fontId="69" fillId="0" borderId="2" xfId="37" applyNumberFormat="1" applyFont="1" applyBorder="1" applyAlignment="1">
      <alignment horizontal="left"/>
    </xf>
    <xf numFmtId="164" fontId="69" fillId="0" borderId="3" xfId="37" applyNumberFormat="1" applyFont="1" applyBorder="1" applyAlignment="1">
      <alignment horizontal="left"/>
    </xf>
    <xf numFmtId="164" fontId="69" fillId="0" borderId="39" xfId="37" applyNumberFormat="1" applyFont="1" applyBorder="1" applyAlignment="1">
      <alignment horizontal="left"/>
    </xf>
    <xf numFmtId="164" fontId="69" fillId="0" borderId="35" xfId="37" applyNumberFormat="1" applyFont="1" applyBorder="1" applyAlignment="1">
      <alignment horizontal="left"/>
    </xf>
    <xf numFmtId="164" fontId="69" fillId="0" borderId="40" xfId="37" applyNumberFormat="1" applyFont="1" applyBorder="1" applyAlignment="1">
      <alignment horizontal="left"/>
    </xf>
    <xf numFmtId="164" fontId="69" fillId="9" borderId="72" xfId="37" applyNumberFormat="1" applyFont="1" applyFill="1" applyBorder="1" applyAlignment="1">
      <alignment horizontal="center"/>
    </xf>
    <xf numFmtId="164" fontId="69" fillId="10" borderId="70" xfId="37" applyNumberFormat="1" applyFont="1" applyFill="1" applyBorder="1" applyAlignment="1">
      <alignment horizontal="center"/>
    </xf>
    <xf numFmtId="164" fontId="69" fillId="10" borderId="54" xfId="37" applyNumberFormat="1" applyFont="1" applyFill="1" applyBorder="1" applyAlignment="1">
      <alignment horizontal="center"/>
    </xf>
    <xf numFmtId="164" fontId="69" fillId="10" borderId="68" xfId="37" applyNumberFormat="1" applyFont="1" applyFill="1" applyBorder="1" applyAlignment="1">
      <alignment horizontal="center"/>
    </xf>
    <xf numFmtId="164" fontId="69" fillId="10" borderId="46" xfId="37" applyNumberFormat="1" applyFont="1" applyFill="1" applyBorder="1" applyAlignment="1">
      <alignment horizontal="center"/>
    </xf>
    <xf numFmtId="0" fontId="72" fillId="0" borderId="0" xfId="40" applyFont="1" applyAlignment="1">
      <alignment horizontal="center"/>
    </xf>
    <xf numFmtId="0" fontId="72" fillId="12" borderId="0" xfId="40" applyFont="1" applyFill="1" applyAlignment="1">
      <alignment horizontal="center"/>
    </xf>
    <xf numFmtId="164" fontId="69" fillId="9" borderId="4" xfId="37" applyNumberFormat="1" applyFont="1" applyFill="1" applyBorder="1" applyAlignment="1">
      <alignment horizontal="center"/>
    </xf>
    <xf numFmtId="164" fontId="69" fillId="9" borderId="0" xfId="37" applyNumberFormat="1" applyFont="1" applyFill="1" applyAlignment="1">
      <alignment horizontal="center"/>
    </xf>
    <xf numFmtId="164" fontId="69" fillId="9" borderId="5" xfId="37" applyNumberFormat="1" applyFont="1" applyFill="1" applyBorder="1" applyAlignment="1">
      <alignment horizontal="center"/>
    </xf>
    <xf numFmtId="0" fontId="72" fillId="8" borderId="0" xfId="40" applyFont="1" applyFill="1" applyAlignment="1">
      <alignment horizontal="center"/>
    </xf>
    <xf numFmtId="0" fontId="30" fillId="8" borderId="0" xfId="40" applyFont="1" applyFill="1" applyAlignment="1">
      <alignment horizontal="left"/>
    </xf>
    <xf numFmtId="0" fontId="72" fillId="9" borderId="0" xfId="40" applyFont="1" applyFill="1" applyAlignment="1">
      <alignment horizontal="center"/>
    </xf>
    <xf numFmtId="164" fontId="69" fillId="0" borderId="26" xfId="37" applyNumberFormat="1" applyFont="1" applyBorder="1" applyAlignment="1">
      <alignment horizontal="center"/>
    </xf>
    <xf numFmtId="164" fontId="69" fillId="0" borderId="68" xfId="37" applyNumberFormat="1" applyFont="1" applyBorder="1" applyAlignment="1">
      <alignment horizontal="center"/>
    </xf>
    <xf numFmtId="164" fontId="69" fillId="0" borderId="25" xfId="37" applyNumberFormat="1" applyFont="1" applyBorder="1" applyAlignment="1">
      <alignment horizontal="center"/>
    </xf>
    <xf numFmtId="164" fontId="69" fillId="0" borderId="79" xfId="37" applyNumberFormat="1" applyFont="1" applyBorder="1" applyAlignment="1">
      <alignment horizontal="left"/>
    </xf>
    <xf numFmtId="0" fontId="30" fillId="8" borderId="0" xfId="40" applyFont="1" applyFill="1" applyAlignment="1">
      <alignment horizontal="center"/>
    </xf>
    <xf numFmtId="164" fontId="66" fillId="0" borderId="91" xfId="37" applyNumberFormat="1" applyFont="1" applyBorder="1" applyAlignment="1">
      <alignment horizontal="center"/>
    </xf>
    <xf numFmtId="164" fontId="69" fillId="10" borderId="18" xfId="37" applyNumberFormat="1" applyFont="1" applyFill="1" applyBorder="1" applyAlignment="1">
      <alignment horizontal="center"/>
    </xf>
    <xf numFmtId="164" fontId="69" fillId="10" borderId="19" xfId="37" applyNumberFormat="1" applyFont="1" applyFill="1" applyBorder="1" applyAlignment="1">
      <alignment horizontal="center"/>
    </xf>
    <xf numFmtId="164" fontId="69" fillId="10" borderId="16" xfId="37" applyNumberFormat="1" applyFont="1" applyFill="1" applyBorder="1" applyAlignment="1">
      <alignment horizontal="center"/>
    </xf>
    <xf numFmtId="164" fontId="69" fillId="10" borderId="12" xfId="37" applyNumberFormat="1" applyFont="1" applyFill="1" applyBorder="1" applyAlignment="1">
      <alignment horizontal="center"/>
    </xf>
    <xf numFmtId="164" fontId="69" fillId="14" borderId="1" xfId="37" applyNumberFormat="1" applyFont="1" applyFill="1" applyBorder="1" applyAlignment="1">
      <alignment horizontal="left"/>
    </xf>
    <xf numFmtId="164" fontId="69" fillId="14" borderId="2" xfId="37" applyNumberFormat="1" applyFont="1" applyFill="1" applyBorder="1" applyAlignment="1">
      <alignment horizontal="left"/>
    </xf>
    <xf numFmtId="164" fontId="69" fillId="14" borderId="3" xfId="37" applyNumberFormat="1" applyFont="1" applyFill="1" applyBorder="1" applyAlignment="1">
      <alignment horizontal="left"/>
    </xf>
    <xf numFmtId="4" fontId="16" fillId="2" borderId="43" xfId="15" applyNumberFormat="1" applyFont="1" applyFill="1" applyBorder="1" applyAlignment="1">
      <alignment horizontal="left" vertical="center" wrapText="1"/>
    </xf>
    <xf numFmtId="4" fontId="16" fillId="0" borderId="44" xfId="15" applyNumberFormat="1" applyFont="1" applyFill="1" applyBorder="1" applyAlignment="1">
      <alignment horizontal="left" vertical="center" wrapText="1"/>
    </xf>
    <xf numFmtId="4" fontId="16" fillId="0" borderId="45" xfId="15" applyNumberFormat="1" applyFont="1" applyFill="1" applyBorder="1" applyAlignment="1">
      <alignment horizontal="left" vertical="center" wrapText="1"/>
    </xf>
    <xf numFmtId="0" fontId="67" fillId="0" borderId="95" xfId="37" applyFont="1" applyBorder="1" applyAlignment="1">
      <alignment horizontal="center"/>
    </xf>
    <xf numFmtId="0" fontId="2" fillId="0" borderId="0" xfId="37"/>
    <xf numFmtId="0" fontId="68" fillId="0" borderId="97" xfId="37" applyFont="1" applyBorder="1"/>
    <xf numFmtId="0" fontId="51" fillId="0" borderId="8" xfId="12" applyFont="1" applyBorder="1" applyAlignment="1">
      <alignment horizontal="center"/>
    </xf>
    <xf numFmtId="0" fontId="19" fillId="0" borderId="1" xfId="0" applyFont="1" applyFill="1" applyBorder="1" applyAlignment="1">
      <alignment horizontal="center" vertical="top" wrapText="1"/>
    </xf>
    <xf numFmtId="0" fontId="19" fillId="0" borderId="2" xfId="0" applyFont="1" applyFill="1" applyBorder="1" applyAlignment="1">
      <alignment horizontal="center" vertical="top" wrapText="1"/>
    </xf>
    <xf numFmtId="0" fontId="19" fillId="0" borderId="3" xfId="0" applyFont="1" applyFill="1" applyBorder="1" applyAlignment="1">
      <alignment horizontal="center" vertical="top" wrapText="1"/>
    </xf>
    <xf numFmtId="0" fontId="15" fillId="0" borderId="39" xfId="0" applyFont="1" applyFill="1" applyBorder="1" applyAlignment="1">
      <alignment horizontal="center" vertical="top"/>
    </xf>
    <xf numFmtId="0" fontId="15" fillId="0" borderId="35" xfId="0" applyFont="1" applyFill="1" applyBorder="1" applyAlignment="1">
      <alignment horizontal="center" vertical="top"/>
    </xf>
    <xf numFmtId="0" fontId="15" fillId="0" borderId="40" xfId="0" applyFont="1" applyFill="1" applyBorder="1" applyAlignment="1">
      <alignment horizontal="center" vertical="top"/>
    </xf>
    <xf numFmtId="0" fontId="19" fillId="0" borderId="1" xfId="15" applyFont="1" applyFill="1" applyBorder="1" applyAlignment="1">
      <alignment horizontal="center" vertical="top" wrapText="1"/>
    </xf>
    <xf numFmtId="0" fontId="19" fillId="0" borderId="2" xfId="15" applyFont="1" applyFill="1" applyBorder="1" applyAlignment="1">
      <alignment horizontal="center" vertical="top" wrapText="1"/>
    </xf>
    <xf numFmtId="0" fontId="19" fillId="0" borderId="3" xfId="15" applyFont="1" applyFill="1" applyBorder="1" applyAlignment="1">
      <alignment horizontal="center" vertical="top" wrapText="1"/>
    </xf>
    <xf numFmtId="0" fontId="15" fillId="0" borderId="39" xfId="15" applyFont="1" applyFill="1" applyBorder="1" applyAlignment="1">
      <alignment horizontal="center" vertical="top"/>
    </xf>
    <xf numFmtId="0" fontId="15" fillId="0" borderId="35" xfId="15" applyFont="1" applyFill="1" applyBorder="1" applyAlignment="1">
      <alignment horizontal="center" vertical="top"/>
    </xf>
    <xf numFmtId="0" fontId="15" fillId="0" borderId="40" xfId="15" applyFont="1" applyFill="1" applyBorder="1" applyAlignment="1">
      <alignment horizontal="center" vertical="top"/>
    </xf>
    <xf numFmtId="2" fontId="24" fillId="0" borderId="43" xfId="15" applyNumberFormat="1" applyFont="1" applyFill="1" applyBorder="1" applyAlignment="1">
      <alignment horizontal="center"/>
    </xf>
    <xf numFmtId="2" fontId="24" fillId="0" borderId="44" xfId="15" applyNumberFormat="1" applyFont="1" applyFill="1" applyBorder="1" applyAlignment="1">
      <alignment horizontal="center"/>
    </xf>
    <xf numFmtId="2" fontId="24" fillId="0" borderId="45" xfId="15" applyNumberFormat="1" applyFont="1" applyFill="1" applyBorder="1" applyAlignment="1">
      <alignment horizontal="center"/>
    </xf>
    <xf numFmtId="0" fontId="24" fillId="0" borderId="1" xfId="15" applyFont="1" applyFill="1" applyBorder="1" applyAlignment="1">
      <alignment horizontal="center" vertical="top" wrapText="1"/>
    </xf>
    <xf numFmtId="0" fontId="24" fillId="0" borderId="2" xfId="15" applyFont="1" applyFill="1" applyBorder="1" applyAlignment="1">
      <alignment horizontal="center" vertical="top" wrapText="1"/>
    </xf>
    <xf numFmtId="0" fontId="24" fillId="0" borderId="3" xfId="15" applyFont="1" applyFill="1" applyBorder="1" applyAlignment="1">
      <alignment horizontal="center" vertical="top" wrapText="1"/>
    </xf>
    <xf numFmtId="1" fontId="18" fillId="0" borderId="14" xfId="15" applyNumberFormat="1" applyFont="1" applyBorder="1" applyAlignment="1">
      <alignment horizontal="left" vertical="center"/>
    </xf>
    <xf numFmtId="1" fontId="18" fillId="0" borderId="0" xfId="15" applyNumberFormat="1" applyFont="1" applyBorder="1" applyAlignment="1">
      <alignment horizontal="left" vertical="center"/>
    </xf>
    <xf numFmtId="4" fontId="15" fillId="0" borderId="13" xfId="0" applyNumberFormat="1" applyFont="1" applyFill="1" applyBorder="1" applyAlignment="1">
      <alignment horizontal="center" vertical="center" wrapText="1"/>
    </xf>
    <xf numFmtId="4" fontId="15" fillId="0" borderId="13" xfId="0" applyNumberFormat="1" applyFont="1" applyFill="1" applyBorder="1" applyAlignment="1">
      <alignment horizontal="center" vertical="center"/>
    </xf>
    <xf numFmtId="164" fontId="15" fillId="0" borderId="13" xfId="1" applyFont="1" applyFill="1" applyBorder="1" applyAlignment="1">
      <alignment horizontal="center" vertical="center"/>
    </xf>
    <xf numFmtId="2" fontId="24" fillId="0" borderId="43" xfId="0" applyNumberFormat="1" applyFont="1" applyFill="1" applyBorder="1" applyAlignment="1">
      <alignment horizontal="center"/>
    </xf>
    <xf numFmtId="2" fontId="24" fillId="0" borderId="44" xfId="0" applyNumberFormat="1" applyFont="1" applyFill="1" applyBorder="1" applyAlignment="1">
      <alignment horizontal="center"/>
    </xf>
    <xf numFmtId="2" fontId="24" fillId="0" borderId="45" xfId="0" applyNumberFormat="1" applyFont="1" applyFill="1" applyBorder="1" applyAlignment="1">
      <alignment horizontal="center"/>
    </xf>
    <xf numFmtId="0" fontId="24" fillId="0" borderId="1" xfId="0" applyFont="1" applyFill="1" applyBorder="1" applyAlignment="1">
      <alignment horizontal="center" vertical="top" wrapText="1"/>
    </xf>
    <xf numFmtId="0" fontId="24" fillId="0" borderId="2" xfId="0" applyFont="1" applyFill="1" applyBorder="1" applyAlignment="1">
      <alignment horizontal="center" vertical="top" wrapText="1"/>
    </xf>
    <xf numFmtId="0" fontId="24" fillId="0" borderId="3" xfId="0" applyFont="1" applyFill="1" applyBorder="1" applyAlignment="1">
      <alignment horizontal="center" vertical="top" wrapText="1"/>
    </xf>
    <xf numFmtId="1" fontId="18" fillId="0" borderId="14" xfId="0" applyNumberFormat="1" applyFont="1" applyFill="1" applyBorder="1" applyAlignment="1">
      <alignment horizontal="left" vertical="center"/>
    </xf>
    <xf numFmtId="1" fontId="18" fillId="0" borderId="0" xfId="0" applyNumberFormat="1" applyFont="1" applyFill="1" applyBorder="1" applyAlignment="1">
      <alignment horizontal="left" vertical="center"/>
    </xf>
    <xf numFmtId="1" fontId="18" fillId="0" borderId="77" xfId="0" applyNumberFormat="1" applyFont="1" applyFill="1" applyBorder="1" applyAlignment="1">
      <alignment horizontal="left" vertical="center"/>
    </xf>
    <xf numFmtId="1" fontId="18" fillId="0" borderId="76" xfId="0" applyNumberFormat="1" applyFont="1" applyFill="1" applyBorder="1" applyAlignment="1">
      <alignment horizontal="left" vertical="center"/>
    </xf>
    <xf numFmtId="1" fontId="19" fillId="0" borderId="14" xfId="0" applyNumberFormat="1" applyFont="1" applyFill="1" applyBorder="1" applyAlignment="1">
      <alignment horizontal="left" vertical="center"/>
    </xf>
    <xf numFmtId="1" fontId="19" fillId="0" borderId="0" xfId="0" applyNumberFormat="1" applyFont="1" applyFill="1" applyBorder="1" applyAlignment="1">
      <alignment horizontal="left" vertical="center"/>
    </xf>
    <xf numFmtId="0" fontId="16" fillId="0" borderId="0" xfId="0" applyFont="1" applyFill="1" applyBorder="1" applyAlignment="1">
      <alignment horizontal="left" vertical="center" wrapText="1"/>
    </xf>
    <xf numFmtId="173" fontId="32" fillId="0" borderId="11" xfId="0" applyNumberFormat="1" applyFont="1" applyBorder="1" applyAlignment="1">
      <alignment horizontal="center" vertical="top"/>
    </xf>
    <xf numFmtId="4" fontId="32" fillId="0" borderId="13" xfId="0" applyNumberFormat="1" applyFont="1" applyFill="1" applyBorder="1" applyAlignment="1">
      <alignment horizontal="center" vertical="top" wrapText="1"/>
    </xf>
    <xf numFmtId="164" fontId="32" fillId="13" borderId="13" xfId="1" applyFont="1" applyFill="1" applyBorder="1" applyAlignment="1">
      <alignment horizontal="right" vertical="top"/>
    </xf>
    <xf numFmtId="164" fontId="32" fillId="13" borderId="14" xfId="1" applyFont="1" applyFill="1" applyBorder="1" applyAlignment="1">
      <alignment horizontal="right" vertical="top"/>
    </xf>
    <xf numFmtId="164" fontId="32" fillId="0" borderId="14" xfId="1" applyFont="1" applyFill="1" applyBorder="1" applyAlignment="1">
      <alignment horizontal="right" vertical="top"/>
    </xf>
    <xf numFmtId="4" fontId="32" fillId="0" borderId="15" xfId="0" applyNumberFormat="1" applyFont="1" applyFill="1" applyBorder="1" applyAlignment="1">
      <alignment horizontal="right" vertical="top"/>
    </xf>
    <xf numFmtId="173" fontId="31" fillId="0" borderId="11" xfId="0" applyNumberFormat="1" applyFont="1" applyBorder="1" applyAlignment="1">
      <alignment horizontal="center" vertical="top"/>
    </xf>
    <xf numFmtId="4" fontId="31" fillId="0" borderId="13" xfId="0" applyNumberFormat="1" applyFont="1" applyFill="1" applyBorder="1" applyAlignment="1">
      <alignment horizontal="justify" vertical="top" wrapText="1"/>
    </xf>
    <xf numFmtId="4" fontId="32" fillId="0" borderId="13" xfId="0" applyNumberFormat="1" applyFont="1" applyFill="1" applyBorder="1" applyAlignment="1">
      <alignment horizontal="center" vertical="top"/>
    </xf>
    <xf numFmtId="173" fontId="15" fillId="3" borderId="11" xfId="15" applyNumberFormat="1" applyFont="1" applyFill="1" applyBorder="1" applyAlignment="1">
      <alignment horizontal="center" vertical="top"/>
    </xf>
    <xf numFmtId="164" fontId="32" fillId="13" borderId="14" xfId="1" applyFont="1" applyFill="1" applyBorder="1" applyAlignment="1">
      <alignment horizontal="right" vertical="center"/>
    </xf>
    <xf numFmtId="164" fontId="32" fillId="3" borderId="13" xfId="1" applyFont="1" applyFill="1" applyBorder="1" applyAlignment="1">
      <alignment horizontal="left" vertical="center"/>
    </xf>
    <xf numFmtId="0" fontId="45" fillId="0" borderId="1" xfId="15" applyFont="1" applyFill="1" applyBorder="1" applyAlignment="1">
      <alignment vertical="center"/>
    </xf>
    <xf numFmtId="0" fontId="45" fillId="0" borderId="2" xfId="15" applyFont="1" applyFill="1" applyBorder="1" applyAlignment="1">
      <alignment vertical="center"/>
    </xf>
    <xf numFmtId="0" fontId="45" fillId="0" borderId="3" xfId="15" applyFont="1" applyFill="1" applyBorder="1" applyAlignment="1">
      <alignment vertical="center"/>
    </xf>
    <xf numFmtId="0" fontId="45" fillId="0" borderId="0" xfId="15" applyFont="1" applyFill="1" applyAlignment="1">
      <alignment vertical="center"/>
    </xf>
    <xf numFmtId="0" fontId="45" fillId="0" borderId="4" xfId="15" applyFont="1" applyFill="1" applyBorder="1" applyAlignment="1">
      <alignment vertical="center"/>
    </xf>
    <xf numFmtId="0" fontId="45" fillId="0" borderId="0" xfId="15" applyFont="1" applyFill="1" applyBorder="1" applyAlignment="1">
      <alignment vertical="center"/>
    </xf>
    <xf numFmtId="0" fontId="45" fillId="0" borderId="5" xfId="15" applyFont="1" applyFill="1" applyBorder="1" applyAlignment="1">
      <alignment vertical="center"/>
    </xf>
    <xf numFmtId="0" fontId="85" fillId="17" borderId="43" xfId="15" applyFont="1" applyFill="1" applyBorder="1" applyAlignment="1">
      <alignment horizontal="center" vertical="center" wrapText="1"/>
    </xf>
    <xf numFmtId="0" fontId="85" fillId="17" borderId="44" xfId="15" applyFont="1" applyFill="1" applyBorder="1" applyAlignment="1">
      <alignment horizontal="center" vertical="center" wrapText="1"/>
    </xf>
    <xf numFmtId="0" fontId="85" fillId="17" borderId="45" xfId="15" applyFont="1" applyFill="1" applyBorder="1" applyAlignment="1">
      <alignment horizontal="center" vertical="center" wrapText="1"/>
    </xf>
    <xf numFmtId="0" fontId="47" fillId="0" borderId="2" xfId="15" applyFont="1" applyFill="1" applyBorder="1" applyAlignment="1">
      <alignment horizontal="center" vertical="center"/>
    </xf>
    <xf numFmtId="0" fontId="47" fillId="0" borderId="79" xfId="15" applyFont="1" applyFill="1" applyBorder="1" applyAlignment="1">
      <alignment horizontal="center" vertical="center"/>
    </xf>
    <xf numFmtId="0" fontId="45" fillId="0" borderId="26" xfId="15" applyFont="1" applyFill="1" applyBorder="1" applyAlignment="1">
      <alignment vertical="center"/>
    </xf>
    <xf numFmtId="0" fontId="47" fillId="0" borderId="68" xfId="15" applyFont="1" applyFill="1" applyBorder="1" applyAlignment="1">
      <alignment horizontal="right" vertical="center"/>
    </xf>
    <xf numFmtId="10" fontId="45" fillId="0" borderId="0" xfId="44" applyNumberFormat="1" applyFont="1" applyFill="1" applyAlignment="1">
      <alignment vertical="center"/>
    </xf>
    <xf numFmtId="0" fontId="47" fillId="0" borderId="0" xfId="15" applyFont="1" applyFill="1" applyBorder="1" applyAlignment="1">
      <alignment horizontal="right" vertical="center"/>
    </xf>
    <xf numFmtId="2" fontId="45" fillId="0" borderId="0" xfId="15" applyNumberFormat="1" applyFont="1" applyFill="1" applyAlignment="1">
      <alignment vertical="center"/>
    </xf>
    <xf numFmtId="0" fontId="45" fillId="0" borderId="79" xfId="15" applyFont="1" applyFill="1" applyBorder="1" applyAlignment="1">
      <alignment vertical="center"/>
    </xf>
    <xf numFmtId="0" fontId="47" fillId="0" borderId="79" xfId="15" applyFont="1" applyFill="1" applyBorder="1" applyAlignment="1">
      <alignment horizontal="right" vertical="center"/>
    </xf>
    <xf numFmtId="43" fontId="45" fillId="0" borderId="0" xfId="15" applyNumberFormat="1" applyFont="1" applyFill="1" applyAlignment="1">
      <alignment vertical="center"/>
    </xf>
    <xf numFmtId="0" fontId="45" fillId="0" borderId="68" xfId="15" applyFont="1" applyFill="1" applyBorder="1" applyAlignment="1">
      <alignment vertical="center"/>
    </xf>
    <xf numFmtId="0" fontId="47" fillId="0" borderId="26" xfId="15" applyFont="1" applyFill="1" applyBorder="1" applyAlignment="1">
      <alignment horizontal="right" vertical="center"/>
    </xf>
    <xf numFmtId="0" fontId="47" fillId="0" borderId="0" xfId="15" applyFont="1" applyFill="1" applyBorder="1" applyAlignment="1">
      <alignment vertical="center"/>
    </xf>
    <xf numFmtId="0" fontId="45" fillId="0" borderId="0" xfId="15" applyFont="1" applyFill="1" applyBorder="1" applyAlignment="1">
      <alignment horizontal="left" vertical="center"/>
    </xf>
    <xf numFmtId="0" fontId="45" fillId="0" borderId="39" xfId="15" applyFont="1" applyFill="1" applyBorder="1" applyAlignment="1">
      <alignment vertical="center"/>
    </xf>
    <xf numFmtId="0" fontId="45" fillId="0" borderId="35" xfId="15" applyFont="1" applyFill="1" applyBorder="1" applyAlignment="1">
      <alignment vertical="center"/>
    </xf>
    <xf numFmtId="0" fontId="47" fillId="0" borderId="35" xfId="15" applyFont="1" applyFill="1" applyBorder="1" applyAlignment="1">
      <alignment horizontal="right" vertical="center"/>
    </xf>
    <xf numFmtId="0" fontId="45" fillId="0" borderId="40" xfId="15" applyFont="1" applyFill="1" applyBorder="1" applyAlignment="1">
      <alignment vertical="center"/>
    </xf>
    <xf numFmtId="0" fontId="47" fillId="0" borderId="0" xfId="15" applyFont="1" applyFill="1" applyAlignment="1">
      <alignment vertical="center"/>
    </xf>
    <xf numFmtId="164" fontId="15" fillId="0" borderId="11" xfId="38" applyNumberFormat="1" applyFont="1" applyFill="1" applyBorder="1" applyAlignment="1">
      <alignment horizontal="left" vertical="center"/>
    </xf>
    <xf numFmtId="164" fontId="45" fillId="0" borderId="2" xfId="1" applyFont="1" applyFill="1" applyBorder="1" applyAlignment="1">
      <alignment vertical="center"/>
    </xf>
    <xf numFmtId="164" fontId="47" fillId="0" borderId="79" xfId="1" applyFont="1" applyFill="1" applyBorder="1" applyAlignment="1">
      <alignment horizontal="center" vertical="center"/>
    </xf>
    <xf numFmtId="164" fontId="45" fillId="0" borderId="25" xfId="1" applyFont="1" applyFill="1" applyBorder="1" applyAlignment="1">
      <alignment vertical="center"/>
    </xf>
    <xf numFmtId="164" fontId="45" fillId="0" borderId="0" xfId="1" applyFont="1" applyFill="1" applyBorder="1" applyAlignment="1">
      <alignment vertical="center"/>
    </xf>
    <xf numFmtId="164" fontId="45" fillId="0" borderId="79" xfId="1" applyFont="1" applyFill="1" applyBorder="1" applyAlignment="1">
      <alignment vertical="center"/>
    </xf>
    <xf numFmtId="164" fontId="45" fillId="0" borderId="68" xfId="1" applyFont="1" applyFill="1" applyBorder="1" applyAlignment="1">
      <alignment vertical="center"/>
    </xf>
    <xf numFmtId="164" fontId="47" fillId="0" borderId="136" xfId="1" applyFont="1" applyFill="1" applyBorder="1" applyAlignment="1">
      <alignment vertical="center"/>
    </xf>
    <xf numFmtId="164" fontId="45" fillId="0" borderId="35" xfId="1" applyFont="1" applyFill="1" applyBorder="1" applyAlignment="1">
      <alignment vertical="center"/>
    </xf>
    <xf numFmtId="164" fontId="45" fillId="0" borderId="0" xfId="1" applyFont="1" applyFill="1" applyAlignment="1">
      <alignment vertical="center"/>
    </xf>
    <xf numFmtId="4" fontId="15" fillId="13" borderId="13" xfId="0" applyNumberFormat="1" applyFont="1" applyFill="1" applyBorder="1" applyAlignment="1">
      <alignment vertical="center"/>
    </xf>
    <xf numFmtId="4" fontId="31" fillId="0" borderId="75" xfId="15" applyNumberFormat="1" applyFont="1" applyFill="1" applyBorder="1" applyAlignment="1">
      <alignment horizontal="left" vertical="center" wrapText="1"/>
    </xf>
    <xf numFmtId="4" fontId="31" fillId="0" borderId="119" xfId="15" applyNumberFormat="1" applyFont="1" applyFill="1" applyBorder="1" applyAlignment="1">
      <alignment horizontal="left" vertical="center" wrapText="1"/>
    </xf>
    <xf numFmtId="4" fontId="15" fillId="3" borderId="36" xfId="0" applyNumberFormat="1" applyFont="1" applyFill="1" applyBorder="1" applyAlignment="1">
      <alignment horizontal="center" vertical="top"/>
    </xf>
    <xf numFmtId="4" fontId="15" fillId="0" borderId="0" xfId="0" applyNumberFormat="1" applyFont="1" applyBorder="1" applyAlignment="1">
      <alignment horizontal="center" wrapText="1"/>
    </xf>
  </cellXfs>
  <cellStyles count="45">
    <cellStyle name="•W_Electrical" xfId="14" xr:uid="{00000000-0005-0000-0000-000000000000}"/>
    <cellStyle name="•W_Electrical 2" xfId="35" xr:uid="{00000000-0005-0000-0000-000001000000}"/>
    <cellStyle name="Comma" xfId="1" builtinId="3"/>
    <cellStyle name="Comma 2" xfId="2" xr:uid="{00000000-0005-0000-0000-000003000000}"/>
    <cellStyle name="Comma 2 2" xfId="3" xr:uid="{00000000-0005-0000-0000-000004000000}"/>
    <cellStyle name="Comma 2 2 2" xfId="5" xr:uid="{00000000-0005-0000-0000-000005000000}"/>
    <cellStyle name="Comma 2 2 2 67 2" xfId="25" xr:uid="{00000000-0005-0000-0000-000006000000}"/>
    <cellStyle name="Comma 3" xfId="7" xr:uid="{00000000-0005-0000-0000-000007000000}"/>
    <cellStyle name="Comma 3 2" xfId="41" xr:uid="{96A60CE7-580A-4330-A93F-463F7EAC27E4}"/>
    <cellStyle name="Comma 4" xfId="11" xr:uid="{00000000-0005-0000-0000-000008000000}"/>
    <cellStyle name="Comma 5" xfId="16" xr:uid="{00000000-0005-0000-0000-000009000000}"/>
    <cellStyle name="Comma 5 2" xfId="38" xr:uid="{A0ED4A2B-4CFC-4613-8E12-4FDBE165E029}"/>
    <cellStyle name="Comma 6" xfId="23" xr:uid="{00000000-0005-0000-0000-00000A000000}"/>
    <cellStyle name="Comma 7" xfId="29" xr:uid="{00000000-0005-0000-0000-00000B000000}"/>
    <cellStyle name="Comma 7 2" xfId="43" xr:uid="{53382F3C-7BBA-4CE3-A6EA-FF95134CD4A3}"/>
    <cellStyle name="Comma 8" xfId="20" xr:uid="{00000000-0005-0000-0000-00000C000000}"/>
    <cellStyle name="Comma 8 2" xfId="27" xr:uid="{00000000-0005-0000-0000-00000D000000}"/>
    <cellStyle name="Comma_29.8.06 Proposed Ambalanthoto-price 7" xfId="31" xr:uid="{00000000-0005-0000-0000-00000E000000}"/>
    <cellStyle name="Comma_Balapitiya B.O.Q, 3 ,27--07 - 2006  Orginal" xfId="33" xr:uid="{00000000-0005-0000-0000-00000F000000}"/>
    <cellStyle name="Normal" xfId="0" builtinId="0"/>
    <cellStyle name="Normal 10" xfId="15" xr:uid="{00000000-0005-0000-0000-000011000000}"/>
    <cellStyle name="Normal 12" xfId="19" xr:uid="{00000000-0005-0000-0000-000012000000}"/>
    <cellStyle name="Normal 12 2" xfId="26" xr:uid="{00000000-0005-0000-0000-000013000000}"/>
    <cellStyle name="Normal 18" xfId="34" xr:uid="{00000000-0005-0000-0000-000014000000}"/>
    <cellStyle name="Normal 2" xfId="4" xr:uid="{00000000-0005-0000-0000-000015000000}"/>
    <cellStyle name="Normal 2 10" xfId="40" xr:uid="{004F5A20-851C-4ABD-A1F0-4739A5E9E6B3}"/>
    <cellStyle name="Normal 2 2" xfId="9" xr:uid="{00000000-0005-0000-0000-000016000000}"/>
    <cellStyle name="Normal 2 2 2" xfId="6" xr:uid="{00000000-0005-0000-0000-000017000000}"/>
    <cellStyle name="Normal 2 3" xfId="17" xr:uid="{00000000-0005-0000-0000-000018000000}"/>
    <cellStyle name="Normal 2 4" xfId="42" xr:uid="{A16202DD-BCD2-4D6C-8906-84D66C4963CB}"/>
    <cellStyle name="Normal 3" xfId="22" xr:uid="{00000000-0005-0000-0000-000019000000}"/>
    <cellStyle name="Normal 3 3" xfId="37" xr:uid="{AE4A69F0-C5FE-46C9-B8AF-0CAC9DA388DF}"/>
    <cellStyle name="Normal 5 2" xfId="39" xr:uid="{5C4E704C-2606-43AA-82AD-0E230B3B015E}"/>
    <cellStyle name="Normal 7" xfId="12" xr:uid="{00000000-0005-0000-0000-00001A000000}"/>
    <cellStyle name="Normal_29.8.06 Proposed Ambalanthoto-price" xfId="30" xr:uid="{00000000-0005-0000-0000-00001B000000}"/>
    <cellStyle name="Normal_Balapitiya B.O.Q, 3 ,27--07 - 2006  Orginal" xfId="32" xr:uid="{00000000-0005-0000-0000-00001C000000}"/>
    <cellStyle name="Normal_BOC-E" xfId="13" xr:uid="{00000000-0005-0000-0000-00001D000000}"/>
    <cellStyle name="Normal_BOQ for MR &amp; Mrs  Breakout" xfId="18" xr:uid="{00000000-0005-0000-0000-00001E000000}"/>
    <cellStyle name="Normal_KUMARA (2)" xfId="36" xr:uid="{00000000-0005-0000-0000-00001F000000}"/>
    <cellStyle name="Normal_My one" xfId="28" xr:uid="{00000000-0005-0000-0000-000020000000}"/>
    <cellStyle name="Normal_UFL (2)" xfId="24" xr:uid="{00000000-0005-0000-0000-000021000000}"/>
    <cellStyle name="Percent" xfId="21" builtinId="5"/>
    <cellStyle name="Percent 2" xfId="8" xr:uid="{00000000-0005-0000-0000-000023000000}"/>
    <cellStyle name="Percent 3" xfId="10" xr:uid="{00000000-0005-0000-0000-000024000000}"/>
    <cellStyle name="Percent 5" xfId="44" xr:uid="{1CE99208-5F02-4F7C-83F1-C5A9FBBC63C5}"/>
  </cellStyles>
  <dxfs count="2">
    <dxf>
      <font>
        <b/>
        <i val="0"/>
        <condense val="0"/>
        <extend val="0"/>
        <color indexed="10"/>
      </font>
    </dxf>
    <dxf>
      <font>
        <b/>
        <i val="0"/>
        <condense val="0"/>
        <extend val="0"/>
        <color indexed="1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2.xml"/><Relationship Id="rId63" Type="http://schemas.openxmlformats.org/officeDocument/2006/relationships/externalLink" Target="externalLinks/externalLink18.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8.xml"/><Relationship Id="rId58" Type="http://schemas.openxmlformats.org/officeDocument/2006/relationships/externalLink" Target="externalLinks/externalLink13.xml"/><Relationship Id="rId66" Type="http://schemas.openxmlformats.org/officeDocument/2006/relationships/externalLink" Target="externalLinks/externalLink21.xml"/><Relationship Id="rId5" Type="http://schemas.openxmlformats.org/officeDocument/2006/relationships/worksheet" Target="worksheets/sheet5.xml"/><Relationship Id="rId61" Type="http://schemas.openxmlformats.org/officeDocument/2006/relationships/externalLink" Target="externalLinks/externalLink1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3.xml"/><Relationship Id="rId56" Type="http://schemas.openxmlformats.org/officeDocument/2006/relationships/externalLink" Target="externalLinks/externalLink11.xml"/><Relationship Id="rId64" Type="http://schemas.openxmlformats.org/officeDocument/2006/relationships/externalLink" Target="externalLinks/externalLink19.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1.xml"/><Relationship Id="rId59" Type="http://schemas.openxmlformats.org/officeDocument/2006/relationships/externalLink" Target="externalLinks/externalLink14.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9.xml"/><Relationship Id="rId62" Type="http://schemas.openxmlformats.org/officeDocument/2006/relationships/externalLink" Target="externalLinks/externalLink17.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4.xml"/><Relationship Id="rId57" Type="http://schemas.openxmlformats.org/officeDocument/2006/relationships/externalLink" Target="externalLinks/externalLink1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7.xml"/><Relationship Id="rId60" Type="http://schemas.openxmlformats.org/officeDocument/2006/relationships/externalLink" Target="externalLinks/externalLink15.xml"/><Relationship Id="rId65" Type="http://schemas.openxmlformats.org/officeDocument/2006/relationships/externalLink" Target="externalLinks/externalLink2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5.xml"/><Relationship Id="rId55" Type="http://schemas.openxmlformats.org/officeDocument/2006/relationships/externalLink" Target="externalLinks/externalLink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2</xdr:col>
      <xdr:colOff>295835</xdr:colOff>
      <xdr:row>44</xdr:row>
      <xdr:rowOff>89646</xdr:rowOff>
    </xdr:from>
    <xdr:to>
      <xdr:col>3</xdr:col>
      <xdr:colOff>1629372</xdr:colOff>
      <xdr:row>47</xdr:row>
      <xdr:rowOff>269388</xdr:rowOff>
    </xdr:to>
    <xdr:pic>
      <xdr:nvPicPr>
        <xdr:cNvPr id="2" name="Picture 1">
          <a:extLst>
            <a:ext uri="{FF2B5EF4-FFF2-40B4-BE49-F238E27FC236}">
              <a16:creationId xmlns:a16="http://schemas.microsoft.com/office/drawing/2014/main" id="{1173B068-BC11-4B0F-94C9-D5828F7FB89A}"/>
            </a:ext>
          </a:extLst>
        </xdr:cNvPr>
        <xdr:cNvPicPr/>
      </xdr:nvPicPr>
      <xdr:blipFill>
        <a:blip xmlns:r="http://schemas.openxmlformats.org/officeDocument/2006/relationships" r:embed="rId1"/>
        <a:stretch>
          <a:fillRect/>
        </a:stretch>
      </xdr:blipFill>
      <xdr:spPr>
        <a:xfrm>
          <a:off x="5096435" y="9218406"/>
          <a:ext cx="1706917" cy="102556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angana/VFORM/Union%20Bank/BOQ%20-%20Yogurt.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madura\Desktop\Keenk2n\Users\UDAYA\AppData\Local\Temp\RATES%20-%20200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Mkr\AFPS\Commercials\AFPs\D327\D327-afp%20blank.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Neptune\eme_tenders\Users\prashaant_s\Documents\Projects\Movenpick\Load%20Calculation.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User/Downloads/Weerakoon/Maldives%20-%20Semi%20Water%20Banglow/Semi%20W%20Banglow-BoQ.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Rangana\VFORM\Union%20Bank\BOQ%20-%20Yogurt.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Access\Projects\UK\BOM%20-%20Uswetakeiyawa.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D:\Documents%20and%20Settings\Saumya\Desktop\Kelaniya%20University%20Hostels%20Project\Kelaniya%20University%20Project\ukslboyhostel\BOM%20-%20School.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Ongoing%20Projects\KIRIELLA\BOQ\BBS\Level%20L7\IT%20slabs\ATR-SPLL-ST-DWG-IT-L7-1043\Shapooji%20Pallonji%20Lanka\BBS%20formate\Users\Sivaprasad\AppData\Local\Temp\Temp1_BBS_Format_2003.zip\My%20Documents\Barsched%208666.xlt"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ocuments%20and%20Settings/Nuwan12/Desktop/Mr.%20Godfrey/Tender/Evaluation/Negotiate%20N&amp;A/N&amp;A%20new%20blank.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Documents%20and%20Settings\Nuwan12\Desktop\Mr.%20Godfrey\Tender\Evaluation\Negotiate%20N&amp;A\N&amp;A%20new%20blank.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G:\Drive\&#160;\Drive\Aurum\Final%20Aurum%20BOQ\PROJECTS%20ON%20kanthi\Benedic\B.O.Q\PROJECTs\projects%20kanthi\Personal\UVA%20BSR%202009%20(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Users\User\Downloads\Weerakoon\Maldives%20-%20Semi%20Water%20Banglow\Semi%20W%20Banglow-BoQ.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Y:\Hasitha\IPA\3%20months%20IPA\All%20to%20gether%20-%20IPA%205%20Final\M.sheets\New%20folder\05.0%20Administration\05.1%20DCA\DCA%20Standard%20Forms\Variation%20Formats\Revised%20Template-flower%20centre.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G:\Documents%20and%20Settings\Chandika\Desktop\TRIP-Hotel%20School%20Kandy\Addendem-02\AFTER%20ADDENDUM-02\Boq\Sameera\Work\Tangalle%20Hospital\Tangalle%20-%20Maternaty%20Ward%20Complex%20WSD.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sers/User/Downloads/Users/User/Downloads/Weerakoon/Maldives%20-%20Semi%20Water%20Banglow/Semi%20W%20Banglow-BoQ.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ocuments%20and%20Settings\Nuwan12\Desktop\Mr.%20Godfrey\Tender\Evaluation\Negotiate%20N&amp;A\N&amp;A%20new%20blank.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Rangana\VFORM\Union%20Bank\BOQ%20-%20Yogurt.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ello%20Builders/Nalin%20-QS/Estimates/Mrs.Deshani%20%20BOQ%20%20-%20Proposed%20Villa%20%20at%20Galle/BOQ/Rate%20Breakdowns%20-%20Mrs.Deshani%20at%20Galle.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ello%20Builders/Ganusha%20-%20QS/HB-000%20Estimate/HBFP%20-%20019%20-%202023.11.29%20-%20Renovation%20Mr%20Sasanka's%20House%20@%20Raththanapitiya/Mr%20Sasanka's%20House%20Renovation%20%20@%20Raththanapitiya%20-%20R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BQ"/>
      <sheetName val="BQ External"/>
      <sheetName val="Basis"/>
      <sheetName val="Notes"/>
      <sheetName val="TAS"/>
      <sheetName val="icmal"/>
      <sheetName val="#REF"/>
      <sheetName val="SubmitCal"/>
      <sheetName val="Option"/>
      <sheetName val="Cash2"/>
      <sheetName val="Z"/>
      <sheetName val="Raw Data"/>
      <sheetName val="Penthouse Apartment"/>
      <sheetName val="Chiet tinh dz22"/>
      <sheetName val="Chiet tinh dz35"/>
      <sheetName val="_______"/>
      <sheetName val="核算项目余额表"/>
      <sheetName val="Criteria"/>
      <sheetName val="Assumptions"/>
      <sheetName val="@risk rents and incentives"/>
      <sheetName val="Car park lease"/>
      <sheetName val="Net rent analysis"/>
      <sheetName val="Poz-1 "/>
      <sheetName val="차액보증"/>
      <sheetName val="StattCo yCharges"/>
      <sheetName val="GFA_HQ_Building"/>
      <sheetName val="GFA_Conference"/>
      <sheetName val="Su}}ary"/>
      <sheetName val="Lab Cum Hist"/>
      <sheetName val="D-623D"/>
      <sheetName val="ancillary"/>
      <sheetName val="Graph Data (DO NOT PRINT)"/>
      <sheetName val="1"/>
      <sheetName val="LABOUR HISTOGRAM"/>
      <sheetName val="CT Thang Mo"/>
      <sheetName val="BOQ"/>
      <sheetName val="Bill No. 2"/>
      <sheetName val="budget summary (2)"/>
      <sheetName val="Budget Analysis Summary"/>
      <sheetName val="Projet, methodes &amp; couts"/>
      <sheetName val="Macro1"/>
      <sheetName val="Planning"/>
      <sheetName val="TAHRIR"/>
      <sheetName val="Bases"/>
      <sheetName val="Risques majeurs &amp; Frais Ind."/>
      <sheetName val="Bouclage"/>
      <sheetName val="AREG_05"/>
      <sheetName val="Sheet2"/>
      <sheetName val="Customize Your Invoice"/>
      <sheetName val="B"/>
      <sheetName val="HVAC BoQ"/>
      <sheetName val="PriceSummary"/>
      <sheetName val="企业表一"/>
      <sheetName val="M-5C"/>
      <sheetName val="M-5A"/>
      <sheetName val=""/>
      <sheetName val="改加胶玻璃、室外栏杆"/>
      <sheetName val="LEVEL SHEET"/>
      <sheetName val="SPT vs PHI"/>
      <sheetName val="CASHFLOWS"/>
      <sheetName val="Sheet1"/>
      <sheetName val="FOL - Bar"/>
      <sheetName val="CT  PL"/>
      <sheetName val="Top sheet"/>
      <sheetName val="BQ_External"/>
      <sheetName val="Bill_1"/>
      <sheetName val="Bill_2"/>
      <sheetName val="Bill_3"/>
      <sheetName val="Bill_4"/>
      <sheetName val="Bill_5"/>
      <sheetName val="Bill_6"/>
      <sheetName val="Bill_7"/>
      <sheetName val="HQ-TO"/>
      <sheetName val="Body Sheet"/>
      <sheetName val="1.0 Executive Summary"/>
      <sheetName val="intr stool brkup"/>
      <sheetName val="ConferenceCentre_x0000_옰ʒ䄂ʒ鵠ʐ䄂ʒ閐̐䄂ʒ蕈̐"/>
      <sheetName val="Budget"/>
      <sheetName val="LABOUR_HISTOGRAM"/>
      <sheetName val="JAS"/>
      <sheetName val="Rate analysis"/>
      <sheetName val="ANNEXURE-A"/>
      <sheetName val="COC"/>
      <sheetName val="Data"/>
      <sheetName val="Tender Summary"/>
      <sheetName val="Insurance Ext"/>
      <sheetName val="Prelims"/>
      <sheetName val="GFA_HQ_Building1"/>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2 Div 14 "/>
      <sheetName val="SHOPLIST.xls"/>
      <sheetName val="List"/>
      <sheetName val="Sheet3"/>
      <sheetName val="Bill 2"/>
      <sheetName val="Ap A"/>
      <sheetName val="Currencies"/>
      <sheetName val="POWER"/>
      <sheetName val="MTP"/>
      <sheetName val="LABOUR_HISTOGRAM1"/>
      <sheetName val="Geneí¬_x0008_i_x0000__x0000__x0014__x0000_0."/>
      <sheetName val="70_x0000_,/0_x0000_s«_x0008_i_x0000_Æø_x0003_í¬_x0008_i_x0000_"/>
      <sheetName val="Inputs"/>
      <sheetName val="기계내역서"/>
      <sheetName val="Tender_Summary"/>
      <sheetName val="Insurance_Ext"/>
      <sheetName val="SAP"/>
      <sheetName val="Bill 1"/>
      <sheetName val="Bill 3"/>
      <sheetName val="Bill 4"/>
      <sheetName val="Bill 5"/>
      <sheetName val="Bill 6"/>
      <sheetName val="Bill 7"/>
      <sheetName val="ACT_SPS"/>
      <sheetName val="SPSF"/>
      <sheetName val="Invoice Summary"/>
      <sheetName val="Civil Boq"/>
      <sheetName val="RA-markate"/>
      <sheetName val="BOQ_Direct_selling cost"/>
      <sheetName val="concrete"/>
      <sheetName val="beam-reinft-IIInd floor"/>
      <sheetName val="Customize_Your_Invoice"/>
      <sheetName val="HVAC_BoQ"/>
      <sheetName val="Wall"/>
      <sheetName val="PROJECT BRIEF"/>
      <sheetName val="DATAS"/>
      <sheetName val="Rate_Analysis"/>
      <sheetName val="Dubai golf"/>
      <sheetName val="공종별_집계금액"/>
      <sheetName val="beam-reinft-machine rm"/>
      <sheetName val="girder"/>
      <sheetName val="Rocker"/>
      <sheetName val="98Price"/>
      <sheetName val="_x0000__x0000__x0000__x0000__x0000__x0000__x0000__x0000_"/>
      <sheetName val="POWER ASSUMPTIONS"/>
      <sheetName val="sal"/>
      <sheetName val="ABSTRACT"/>
      <sheetName val="DETAILED  BOQ"/>
      <sheetName val="M-Book for Conc"/>
      <sheetName val="M-Book for FW"/>
      <sheetName val="Vehicles"/>
      <sheetName val="C (3)"/>
      <sheetName val="GFA_HQ_Building2"/>
      <sheetName val="GFA_Conference2"/>
      <sheetName val="BQ_External2"/>
      <sheetName val="Penthouse_Apartment1"/>
      <sheetName val="StattCo_yCharges1"/>
      <sheetName val="Raw_Data1"/>
      <sheetName val="Bill_No__21"/>
      <sheetName val="Graph_Data_(DO_NOT_PRINT)1"/>
      <sheetName val="Chiet_tinh_dz221"/>
      <sheetName val="Chiet_tinh_dz351"/>
      <sheetName val="CT_Thang_Mo1"/>
      <sheetName val="@risk_rents_and_incentives1"/>
      <sheetName val="Car_park_lease1"/>
      <sheetName val="Net_rent_analysis1"/>
      <sheetName val="Poz-1_1"/>
      <sheetName val="Lab_Cum_Hist1"/>
      <sheetName val="FOL_-_Bar1"/>
      <sheetName val="LEVEL_SHEET1"/>
      <sheetName val="SPT_vs_PHI1"/>
      <sheetName val="budget_summary_(2)1"/>
      <sheetName val="Budget_Analysis_Summary1"/>
      <sheetName val="Projet,_methodes_&amp;_couts1"/>
      <sheetName val="Risques_majeurs_&amp;_Frais_Ind_1"/>
      <sheetName val="CT__PL1"/>
      <sheetName val="intr_stool_brkup"/>
      <sheetName val="Top_sheet"/>
      <sheetName val="Body_Sheet"/>
      <sheetName val="1_0_Executive_Summary"/>
      <sheetName val="마산월령동골조물량변경"/>
      <sheetName val="Softscape Buildup"/>
      <sheetName val="Mat'l Rate"/>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ody_Sheet1"/>
      <sheetName val="1_0_Executive_Summary1"/>
      <sheetName val="Top_sheet1"/>
      <sheetName val="intr_stool_brkup1"/>
      <sheetName val="Rate_analysis1"/>
      <sheetName val="LABOUR_HISTOGRAM2"/>
      <sheetName val="Tender_Summary1"/>
      <sheetName val="Insurance_Ext1"/>
      <sheetName val="Customize_Your_Invoice1"/>
      <sheetName val="HVAC_BoQ1"/>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Eq. Mobilization"/>
      <sheetName val="77S(O)"/>
      <sheetName val="PointNo.5"/>
      <sheetName val="11-hsd"/>
      <sheetName val="13-septic"/>
      <sheetName val="7-ug"/>
      <sheetName val="2-utility"/>
      <sheetName val="18-misc"/>
      <sheetName val="5-pipe"/>
      <sheetName val="MOS"/>
      <sheetName val="PA- Consutant "/>
      <sheetName val="upa"/>
      <sheetName val="B185-B-2"/>
      <sheetName val="B185-B-3"/>
      <sheetName val="B185-B-4"/>
      <sheetName val="B185-B-5"/>
      <sheetName val="B185-B-6"/>
      <sheetName val="B185-B-7"/>
      <sheetName val="B185-B-8"/>
      <sheetName val="B185-B-9.1"/>
      <sheetName val="B185-B-9.2"/>
      <sheetName val="d-safe DELUXE"/>
      <sheetName val="BILL COV"/>
      <sheetName val="Ra  stair"/>
      <sheetName val="GFA_HQ_Building6"/>
      <sheetName val="Geneí¬_x0008_i"/>
      <sheetName val="70"/>
      <sheetName val="WITHOUT C&amp;I PROFIT (3)"/>
      <sheetName val="Bill_21"/>
      <sheetName val="2_Div_14_"/>
      <sheetName val="Ap_A"/>
      <sheetName val="SHOPLIST_xls"/>
      <sheetName val="Geneí¬i0_"/>
      <sheetName val="70,/0s«iÆøí¬i"/>
      <sheetName val="Invoice_Summary"/>
      <sheetName val="PROJECT_BRIEF"/>
      <sheetName val="Activity List"/>
      <sheetName val="VCH-SLC"/>
      <sheetName val="Item- Compact"/>
      <sheetName val="Supplier"/>
      <sheetName val="Design"/>
      <sheetName val="Annex"/>
      <sheetName val="factors"/>
      <sheetName val="P4-B"/>
      <sheetName val="Break_Up"/>
      <sheetName val="RESULT"/>
      <sheetName val="IO LIST"/>
      <sheetName val="Formulas"/>
      <sheetName val="Material "/>
      <sheetName val="Quote Sheet"/>
      <sheetName val="foot-slab reinft"/>
      <sheetName val="Materials Cost(PCC)"/>
      <sheetName val="India F&amp;S Template"/>
      <sheetName val="CODE"/>
      <sheetName val="HIRED LABOUR CODE"/>
      <sheetName val="P&amp;L-BDMC"/>
      <sheetName val="PRECAST lightconc-II"/>
      <sheetName val="col-reinft1"/>
      <sheetName val="Voucher"/>
      <sheetName val="final abstract"/>
      <sheetName val="BLK2"/>
      <sheetName val="BLK3"/>
      <sheetName val="E &amp; R"/>
      <sheetName val="radar"/>
      <sheetName val="UG"/>
      <sheetName val="Detail"/>
      <sheetName val="p&amp;m"/>
      <sheetName val="250mm"/>
      <sheetName val="200mm"/>
      <sheetName val="160mm"/>
      <sheetName val="FITTINGS"/>
      <sheetName val="VALVE CHAMBERS"/>
      <sheetName val="Fire Hydrants"/>
      <sheetName val="B.GATE VALVE"/>
      <sheetName val="Sub G1 Fire"/>
      <sheetName val="Sub G12 Fire"/>
      <sheetName val="Bill_11"/>
      <sheetName val="Bill_31"/>
      <sheetName val="Bill_41"/>
      <sheetName val="Bill_51"/>
      <sheetName val="Bill_61"/>
      <sheetName val="Bill_71"/>
      <sheetName val="PROJECT_BRIEF1"/>
      <sheetName val="Bill_22"/>
      <sheetName val="C_(3)1"/>
      <sheetName val="Ap_A1"/>
      <sheetName val="2_Div_14_1"/>
      <sheetName val="Dubai_golf"/>
      <sheetName val="beam-reinft-IIInd_floor"/>
      <sheetName val="POWER_ASSUMPTIONS"/>
      <sheetName val="beam-reinft-machine_rm"/>
      <sheetName val="C_(3)"/>
      <sheetName val="갑지"/>
      <sheetName val="Day work"/>
      <sheetName val="CERTIFICATE"/>
      <sheetName val="Data_Summary"/>
      <sheetName val="GFA_HQ_Building7"/>
      <sheetName val="GFA_Conference6"/>
      <sheetName val="BQ_External6"/>
      <sheetName val="Projet,_methodes_&amp;_couts4"/>
      <sheetName val="Risques_majeurs_&amp;_Frais_Ind_4"/>
      <sheetName val="Penthouse_Apartment5"/>
      <sheetName val="LABOUR_HISTOGRAM6"/>
      <sheetName val="StattCo_yCharges5"/>
      <sheetName val="Chiet_tinh_dz225"/>
      <sheetName val="Chiet_tinh_dz355"/>
      <sheetName val="Raw_Data5"/>
      <sheetName val="CT_Thang_Mo5"/>
      <sheetName val="LEVEL_SHEET5"/>
      <sheetName val="SPT_vs_PHI5"/>
      <sheetName val="@risk_rents_and_incentives5"/>
      <sheetName val="Car_park_lease5"/>
      <sheetName val="Net_rent_analysis5"/>
      <sheetName val="Poz-1_5"/>
      <sheetName val="Lab_Cum_Hist5"/>
      <sheetName val="Graph_Data_(DO_NOT_PRINT)5"/>
      <sheetName val="Bill_No__25"/>
      <sheetName val="budget_summary_(2)4"/>
      <sheetName val="Budget_Analysis_Summary4"/>
      <sheetName val="Customize_Your_Invoice5"/>
      <sheetName val="HVAC_BoQ5"/>
      <sheetName val="FOL_-_Bar5"/>
      <sheetName val="Tender_Summary5"/>
      <sheetName val="Insurance_Ext5"/>
      <sheetName val="CT__PL4"/>
      <sheetName val="intr_stool_brkup4"/>
      <sheetName val="Top_sheet4"/>
      <sheetName val="Rate_analysis4"/>
      <sheetName val="PROJECT_BRIEF2"/>
      <sheetName val="Body_Sheet4"/>
      <sheetName val="1_0_Executive_Summary4"/>
      <sheetName val="Bill_23"/>
      <sheetName val="C_(3)2"/>
      <sheetName val="Ap_A2"/>
      <sheetName val="2_Div_14_2"/>
      <sheetName val="Bill_12"/>
      <sheetName val="Bill_32"/>
      <sheetName val="Bill_42"/>
      <sheetName val="Bill_52"/>
      <sheetName val="Bill_62"/>
      <sheetName val="Bill_72"/>
      <sheetName val="SHOPLIST_xls1"/>
      <sheetName val="Dubai_golf1"/>
      <sheetName val="Invoice_Summary1"/>
      <sheetName val="beam-reinft-IIInd_floor1"/>
      <sheetName val="POWER_ASSUMPTIONS1"/>
      <sheetName val="beam-reinft-machine_rm1"/>
      <sheetName val="Civil_Boq"/>
      <sheetName val="WITHOUT_C&amp;I_PROFIT_(3)"/>
      <sheetName val="Activity_List"/>
      <sheetName val="Softscape_Buildup"/>
      <sheetName val="Mat'l_Rate"/>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DETAILED__BOQ"/>
      <sheetName val="M-Book_for_Conc"/>
      <sheetName val="M-Book_for_FW"/>
      <sheetName val="HIRED_LABOUR_CODE"/>
      <sheetName val="PA-_Consutant_"/>
      <sheetName val="foot-slab_reinft"/>
      <sheetName val="Working for RCC"/>
      <sheetName val="Geneí¬i"/>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Dropdown"/>
      <sheetName val="Elemental Buildup"/>
      <sheetName val="Toolbox"/>
      <sheetName val="INSTR"/>
      <sheetName val="ConferenceCentre?옰ʒ䄂ʒ鵠ʐ䄂ʒ閐̐䄂ʒ蕈̐"/>
      <sheetName val="COLUMN"/>
      <sheetName val="w't table"/>
      <sheetName val="cp-e1"/>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CHART OF ACCOUNTS"/>
      <sheetName val="15-MECH"/>
      <sheetName val="Material List "/>
      <sheetName val="E-Bill No.6 A-O"/>
      <sheetName val="GFA_HQ_Building9"/>
      <sheetName val="GFA_Conference8"/>
      <sheetName val="BQ_External8"/>
      <sheetName val="Graph_Data_(DO_NOT_PRINT)7"/>
      <sheetName val="Penthouse_Apartment7"/>
      <sheetName val="Chiet_tinh_dz227"/>
      <sheetName val="Chiet_tinh_dz357"/>
      <sheetName val="StattCo_yCharges7"/>
      <sheetName val="Raw_Data7"/>
      <sheetName val="LABOUR_HISTOGRAM8"/>
      <sheetName val="@risk_rents_and_incentives7"/>
      <sheetName val="Car_park_lease7"/>
      <sheetName val="Net_rent_analysis7"/>
      <sheetName val="Poz-1_7"/>
      <sheetName val="CT_Thang_Mo7"/>
      <sheetName val="Lab_Cum_Hist7"/>
      <sheetName val="LEVEL_SHEET7"/>
      <sheetName val="Bill_No__27"/>
      <sheetName val="Tender_Summary7"/>
      <sheetName val="Insurance_Ext7"/>
      <sheetName val="FOL_-_Bar7"/>
      <sheetName val="SPT_vs_PHI7"/>
      <sheetName val="Customize_Your_Invoice7"/>
      <sheetName val="HVAC_BoQ7"/>
      <sheetName val="budget_summary_(2)6"/>
      <sheetName val="Budget_Analysis_Summary6"/>
      <sheetName val="Body_Sheet6"/>
      <sheetName val="1_0_Executive_Summary6"/>
      <sheetName val="Projet,_methodes_&amp;_couts6"/>
      <sheetName val="Risques_majeurs_&amp;_Frais_Ind_6"/>
      <sheetName val="Top_sheet6"/>
      <sheetName val="CT__PL6"/>
      <sheetName val="intr_stool_brkup6"/>
      <sheetName val="Rate_analysis6"/>
      <sheetName val="Day_work"/>
      <sheetName val="BILL_COV"/>
      <sheetName val="GFA_HQ_Building10"/>
      <sheetName val="GFA_Conference9"/>
      <sheetName val="BQ_External9"/>
      <sheetName val="Graph_Data_(DO_NOT_PRINT)8"/>
      <sheetName val="Penthouse_Apartment8"/>
      <sheetName val="Chiet_tinh_dz228"/>
      <sheetName val="Chiet_tinh_dz358"/>
      <sheetName val="StattCo_yCharges8"/>
      <sheetName val="Raw_Data8"/>
      <sheetName val="LABOUR_HISTOGRAM9"/>
      <sheetName val="@risk_rents_and_incentives8"/>
      <sheetName val="Car_park_lease8"/>
      <sheetName val="Net_rent_analysis8"/>
      <sheetName val="Poz-1_8"/>
      <sheetName val="CT_Thang_Mo8"/>
      <sheetName val="Lab_Cum_Hist8"/>
      <sheetName val="LEVEL_SHEET8"/>
      <sheetName val="Bill_No__28"/>
      <sheetName val="Tender_Summary8"/>
      <sheetName val="Insurance_Ext8"/>
      <sheetName val="FOL_-_Bar8"/>
      <sheetName val="SPT_vs_PHI8"/>
      <sheetName val="Customize_Your_Invoice8"/>
      <sheetName val="HVAC_BoQ8"/>
      <sheetName val="budget_summary_(2)7"/>
      <sheetName val="Budget_Analysis_Summary7"/>
      <sheetName val="Body_Sheet7"/>
      <sheetName val="1_0_Executive_Summary7"/>
      <sheetName val="Projet,_methodes_&amp;_couts7"/>
      <sheetName val="Risques_majeurs_&amp;_Frais_Ind_7"/>
      <sheetName val="Top_sheet7"/>
      <sheetName val="CT__PL7"/>
      <sheetName val="intr_stool_brkup7"/>
      <sheetName val="Rate_analysis7"/>
      <sheetName val="Dubai_golf3"/>
      <sheetName val="SHOPLIST_xls3"/>
      <sheetName val="Bill_14"/>
      <sheetName val="Bill_34"/>
      <sheetName val="Bill_44"/>
      <sheetName val="Bill_54"/>
      <sheetName val="Bill_64"/>
      <sheetName val="Bill_74"/>
      <sheetName val="beam-reinft-IIInd_floor3"/>
      <sheetName val="Invoice_Summary3"/>
      <sheetName val="POWER_ASSUMPTIONS3"/>
      <sheetName val="beam-reinft-machine_rm3"/>
      <sheetName val="Day_work1"/>
      <sheetName val="BILL_COV1"/>
      <sheetName val="Gra¦_x0004_)_x0000__x0000__x0000_VW_x0000__x0000__x0000__x0000__x0000__x0000__x0000__x0000__x0000_ U"/>
      <sheetName val="/VW_x0000_VU_x0000_)_x0000__x0000__x0000_)_x0000__x0000__x0000__x0001__x0000__x0000__x0000_tÏØ0_x0009__x0008__x0000__x0000__x0009__x0008_"/>
      <sheetName val="/VW_x0000_VU_x0000_)_x0000__x0000__x0000_)_x0000__x0000__x0000__x0001__x0000__x0000__x0000_tÏØ0 _x0008__x0000__x0000_ _x0008_"/>
      <sheetName val="房屋及建筑物"/>
      <sheetName val="XL4Poppy"/>
      <sheetName val="Ap_A4"/>
      <sheetName val="2_Div_14_4"/>
      <sheetName val="PROJECT_BRIEF4"/>
      <sheetName val="Bill_25"/>
      <sheetName val="C_(3)4"/>
      <sheetName val="Civil_Boq2"/>
      <sheetName val="WITHOUT_C&amp;I_PROFIT_(3)2"/>
      <sheetName val="Activity_List2"/>
      <sheetName val="Softscape_Buildup2"/>
      <sheetName val="Mat'l_Rate2"/>
      <sheetName val="Ra__stair"/>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Ra__stair1"/>
      <sheetName val="B03"/>
      <sheetName val="B09.1"/>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VALVE_CHAMBERS"/>
      <sheetName val="Fire_Hydrants"/>
      <sheetName val="B_GATE_VALVE"/>
      <sheetName val="Sub_G1_Fire"/>
      <sheetName val="Sub_G12_Fire"/>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집계표(OPTION)"/>
      <sheetName val="PMWeb data"/>
      <sheetName val="PMWeb_data"/>
      <sheetName val="SS_MH"/>
      <sheetName val="SS MH"/>
      <sheetName val="BS"/>
      <sheetName val="HIRED_LABOUR_CODE3"/>
      <sheetName val="PA-_Consutant_3"/>
      <sheetName val="foot-slab_reinft3"/>
      <sheetName val="DETAILED__BOQ3"/>
      <sheetName val="M-Book_for_Conc3"/>
      <sheetName val="M-Book_for_FW3"/>
      <sheetName val="VALVE_CHAMBERS2"/>
      <sheetName val="Fire_Hydrants2"/>
      <sheetName val="B_GATE_VALVE2"/>
      <sheetName val="Sub_G1_Fire2"/>
      <sheetName val="Sub_G12_Fire2"/>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w't_table"/>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2.2)Revised Cash Flow"/>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Gra¦_x0004_)"/>
      <sheetName val="/VW"/>
      <sheetName val="ConferenceCentre_x005f_x0000_옰ʒ䄂ʒ鵠ʐ䄂ʒ"/>
      <sheetName val="Geneí¬_x005f_x0008_i_x005f_x0000__x005f_x0000__x0"/>
      <sheetName val="70_x005f_x0000_,_0_x005f_x0000_s«_x005f_x0008_i_x"/>
      <sheetName val="Geneí¬_x005f_x0008_i"/>
      <sheetName val="입찰내역 발주처 양식"/>
      <sheetName val="Day_work2"/>
      <sheetName val="Gra¦)VW_U"/>
      <sheetName val="/VWVU))tÏØ0  "/>
      <sheetName val="/VWVU))tÏØ0__"/>
      <sheetName val="LIST DO NOT REMOVE"/>
      <sheetName val="Index List"/>
      <sheetName val="Type List"/>
      <sheetName val="File Types"/>
      <sheetName val="Chiet t"/>
      <sheetName val="Staffing and Rates IA"/>
      <sheetName val="SStaff-Sept2013"/>
      <sheetName val="Summary of Work"/>
      <sheetName val="_x005f_x0000__x005f_x0000__x005f_x0000__x005f_x0000__x0"/>
      <sheetName val="Staff Acco."/>
      <sheetName val="TBAL9697 -group wise  sdpl"/>
      <sheetName val="2_2)Revised_Cash_Flow"/>
      <sheetName val="Lists"/>
      <sheetName val="escalation"/>
      <sheetName val="ANAL"/>
      <sheetName val="Quantity"/>
      <sheetName val="??-BLDG"/>
      <sheetName val="PNT-QUOT-#3"/>
      <sheetName val="COAT&amp;WRAP-QIOT-#3"/>
      <sheetName val="ml"/>
      <sheetName val="Employee List"/>
      <sheetName val="SIEMENS"/>
      <sheetName val="Earthwork"/>
      <sheetName val="GIAVLIEU"/>
      <sheetName val="Project Cost Breakdown"/>
      <sheetName val="Materials_Cost(PCC)2"/>
      <sheetName val="India_F&amp;S_Template2"/>
      <sheetName val="IO_LIST2"/>
      <sheetName val="Material_2"/>
      <sheetName val="Quote_Sheet2"/>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GRSummary"/>
      <sheetName val="B6.2 "/>
      <sheetName val="PointNo_5"/>
      <sheetName val="Elemental_Buildup"/>
      <sheetName val="Demand"/>
      <sheetName val="Occ"/>
      <sheetName val="Old"/>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Elemental_Buildup1"/>
      <sheetName val="PointNo_51"/>
      <sheetName val="B6_2_"/>
      <sheetName val="LIST_DO_NOT_REMOVE"/>
      <sheetName val="Рабочий лист"/>
      <sheetName val="ФМ"/>
      <sheetName val="Сравнение"/>
      <sheetName val="Table"/>
      <sheetName val="SITE WORK"/>
      <sheetName val="Sub_G1_Five"/>
      <sheetName val="Annex 1 Sect 3a"/>
      <sheetName val="Annex 1 Sect 3a.1"/>
      <sheetName val="Annex 1 Sect 3b"/>
      <sheetName val="Annex 1 Sect 3c"/>
      <sheetName val="HOURLY RATES"/>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Prices"/>
      <sheetName val="Rate summary"/>
      <sheetName val="#REF!"/>
      <sheetName val="SW-TEO"/>
      <sheetName val="科目余额表正式"/>
      <sheetName val="%"/>
      <sheetName val="BG"/>
      <sheetName val="RAB AR&amp;STR"/>
      <sheetName val="70_x005f_x0000_,/0_x005f_x0000_s«_x005f_x0008_i_x"/>
      <sheetName val="Back up"/>
      <sheetName val="PT 141- Site A Landscape"/>
      <sheetName val="XV10017"/>
      <sheetName val="Geneí¬ i_x0000__x0000_ _x0000_0."/>
      <sheetName val="70_x0000_,/0_x0000_s« i_x0000_Æø í¬ i_x0000_"/>
      <sheetName val="Summary_of_Work"/>
      <sheetName val="Employee_List"/>
      <sheetName val="train cash"/>
      <sheetName val="accom cash"/>
      <sheetName val="ConferenceCentre_x0000_옰ʒ䄂ʒ鵠ʐ䄂ʒ"/>
      <sheetName val="Geneí¬_x0008_i_x0000__x0000__x0"/>
      <sheetName val="70_x0000_,_0_x0000_s«_x0008_i_x"/>
      <sheetName val="_x0000__x0000__x0000__x0000__x0"/>
      <sheetName val="INDIGINEOUS ITEMS "/>
      <sheetName val="office"/>
      <sheetName val="Lab"/>
      <sheetName val="Duct Accesories"/>
      <sheetName val="COSTING"/>
      <sheetName val="PRJDATA"/>
      <sheetName val="Master"/>
      <sheetName val="合成単価作成表-BLDG"/>
      <sheetName val="BASE_APR17_HISTOGRAMS"/>
      <sheetName val="PRECAST_lightconc-II"/>
      <sheetName val="final_abstract"/>
      <sheetName val="MA"/>
      <sheetName val="Rebars"/>
      <sheetName val="Mall waterproofing"/>
      <sheetName val="MSCP waterproofing"/>
      <sheetName val="-----------------"/>
      <sheetName val="70,_0s«iÆøí¬i"/>
      <sheetName val="ConferenceCentre_옰ʒ䄂ʒ鵠ʐ䄂ʒ閐̐䄂ʒ蕈̐"/>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 ??? ??"/>
      <sheetName val="200205C"/>
      <sheetName val="Headings"/>
      <sheetName val="References"/>
      <sheetName val="Map"/>
      <sheetName val="Labour &amp; Plant"/>
      <sheetName val="E_&amp;_R"/>
      <sheetName val="Geneí¬_x0008_i??_x0014_?0."/>
      <sheetName val="70?,/0?s«_x0008_i?Æø_x0003_í¬_x0008_i?"/>
      <sheetName val="????????"/>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SHOPLIST.xls][SHOPLIST.xls]70_x0000_"/>
      <sheetName val="[SHOPLIST.xls][SHOPLIST.xls]70,"/>
      <sheetName val="GPL Revenu Update"/>
      <sheetName val="DO NOT TOUCH"/>
      <sheetName val="Work Type"/>
      <sheetName val="Common Variables"/>
      <sheetName val="Rate_analysis10"/>
      <sheetName val="Staff_Acco_"/>
      <sheetName val="TBAL9697_-group_wise__sdpl"/>
      <sheetName val="[SHOPLIST.xls]70_x0000_,/0_x0000_s«_x0008_i_x0000_Æø_x0003_í¬"/>
      <sheetName val="[SHOPLIST.xls]70,/0s«iÆøí¬i"/>
      <sheetName val="ConferenceCentre?옰ʒ䄂ʒ鵠ʐ䄂ʒ閐̐脭め_x0005__x0000_"/>
      <sheetName val="UOM"/>
      <sheetName val="PROJECT BRIEF(EX.NEW)"/>
      <sheetName val="TESİSAT"/>
      <sheetName val="Definitions"/>
      <sheetName val="MEP"/>
      <sheetName val="IRR"/>
      <sheetName val="[SHOPLIST.xls]70_x0000_,/0_x0000_s« i_x0000_Æø í¬"/>
      <sheetName val="Selections"/>
      <sheetName val="Sheet7"/>
      <sheetName val="AREA OF APPLICATION"/>
      <sheetName val="Steel"/>
      <sheetName val="PE"/>
      <sheetName val="Coding"/>
      <sheetName val="Рабочий_лист"/>
      <sheetName val="LIST_DO_NOT_REMOVE1"/>
      <sheetName val="Project_Cost_Breakdown"/>
      <sheetName val="B6_2_1"/>
      <sheetName val="Annex_1_Sect_3a"/>
      <sheetName val="Annex_1_Sect_3a_1"/>
      <sheetName val="Annex_1_Sect_3b"/>
      <sheetName val="Annex_1_Sect_3c"/>
      <sheetName val="HOURLY_RATES"/>
      <sheetName val="Item-_Compact"/>
      <sheetName val="Source"/>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Risk Breakdown Structure"/>
      <sheetName val="Header"/>
      <sheetName val="Lookup"/>
      <sheetName val="PTS-1"/>
      <sheetName val="Geneí¬ i"/>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Employee_List1"/>
      <sheetName val="입찰내역_발주처_양식3"/>
      <sheetName val="Chiet_t3"/>
      <sheetName val="Staffing_and_Rates_IA3"/>
      <sheetName val="Summary_of_Work1"/>
      <sheetName val="/VWVU))tÏØ0__3"/>
      <sheetName val="PT_141-_Site_A_Landscape"/>
      <sheetName val="Geneí¬_i_0_"/>
      <sheetName val="70,/0s«_iÆø_í¬_i"/>
      <sheetName val="d-safe_DELUXE"/>
      <sheetName val="Rate_summary"/>
      <sheetName val="SITE_WORK"/>
      <sheetName val="RAB_AR&amp;STR"/>
      <sheetName val="Back_up"/>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LIST_DO_NOT_REMOVE2"/>
      <sheetName val="B6_2_2"/>
      <sheetName val="Staff_Acco_1"/>
      <sheetName val="TBAL9697_-group_wise__sdpl1"/>
      <sheetName val="Item-_Compact1"/>
      <sheetName val="E_&amp;_R1"/>
      <sheetName val="Project_Cost_Breakdown1"/>
      <sheetName val="Annex_1_Sect_3a1"/>
      <sheetName val="Annex_1_Sect_3a_11"/>
      <sheetName val="Annex_1_Sect_3b1"/>
      <sheetName val="Annex_1_Sect_3c1"/>
      <sheetName val="HOURLY_RATES1"/>
      <sheetName val="PNTEXT"/>
      <sheetName val="steel total"/>
      <sheetName val="ELE BOQ"/>
      <sheetName val="Materials_Cost(PCC)5"/>
      <sheetName val="India_F&amp;S_Template5"/>
      <sheetName val="IO_LIST5"/>
      <sheetName val="Material_5"/>
      <sheetName val="Quote_Sheet5"/>
      <sheetName val="BOQ_Direct_selling_cost5"/>
      <sheetName val="PRECAST_lightconc-II5"/>
      <sheetName val="final_abstract5"/>
      <sheetName val="Labour_&amp;_Plant"/>
      <sheetName val="Geneí¬i___0_"/>
      <sheetName val="70_,_0_s«i_Æøí¬i_"/>
      <sheetName val="Ave_wtd_rates"/>
      <sheetName val="Debits_as_on_12_04_08"/>
      <sheetName val="STAFFSCHED_"/>
      <sheetName val="TRIAL_BALANCE"/>
      <sheetName val="[SHOPLIST_xls][SHOPLIST_xls]70"/>
      <sheetName val="[SHOPLIST_xls][SHOPLIST_xls]70,"/>
      <sheetName val="Common_Variables"/>
      <sheetName val="[SHOPLIST_xls]70,/0s«iÆøí¬"/>
      <sheetName val="[SHOPLIST_xls]70,/0s«iÆøí¬i"/>
      <sheetName val="GPL_Revenu_Update"/>
      <sheetName val="DO_NOT_TOUCH"/>
      <sheetName val="Work_Type"/>
      <sheetName val="ConferenceCentre?옰ʒ䄂ʒ鵠ʐ䄂ʒ閐̐脭め"/>
      <sheetName val="PROJECT_BRIEF(EX_NEW)"/>
      <sheetName val="ￒlￒmￒnￒaￒSￒmￒaￒy"/>
      <sheetName val="CostPlan"/>
      <sheetName val="Database"/>
      <sheetName val="GFA_HQ_Building16"/>
      <sheetName val="GFA_Conference15"/>
      <sheetName val="BQ_External15"/>
      <sheetName val="StattCo_yCharges14"/>
      <sheetName val="Graph_Data_(DO_NOT_PRINT)14"/>
      <sheetName val="Penthouse_Apartment14"/>
      <sheetName val="Chiet_tinh_dz2214"/>
      <sheetName val="Chiet_tinh_dz3514"/>
      <sheetName val="@risk_rents_and_incentives14"/>
      <sheetName val="Car_park_lease14"/>
      <sheetName val="Net_rent_analysis14"/>
      <sheetName val="Poz-1_14"/>
      <sheetName val="Lab_Cum_Hist14"/>
      <sheetName val="Raw_Data14"/>
      <sheetName val="LABOUR_HISTOGRAM15"/>
      <sheetName val="Bill_No__214"/>
      <sheetName val="FOL_-_Bar14"/>
      <sheetName val="CT_Thang_Mo14"/>
      <sheetName val="LEVEL_SHEET14"/>
      <sheetName val="SPT_vs_PHI14"/>
      <sheetName val="budget_summary_(2)13"/>
      <sheetName val="Budget_Analysis_Summary13"/>
      <sheetName val="Projet,_methodes_&amp;_couts13"/>
      <sheetName val="Risques_majeurs_&amp;_Frais_Ind_13"/>
      <sheetName val="Customize_Your_Invoice14"/>
      <sheetName val="HVAC_BoQ14"/>
      <sheetName val="CT__PL13"/>
      <sheetName val="Tender_Summary14"/>
      <sheetName val="Insurance_Ext14"/>
      <sheetName val="Top_sheet13"/>
      <sheetName val="intr_stool_brkup13"/>
      <sheetName val="Body_Sheet13"/>
      <sheetName val="1_0_Executive_Summary13"/>
      <sheetName val="Bill_212"/>
      <sheetName val="Ap_A11"/>
      <sheetName val="SHOPLIST_xls10"/>
      <sheetName val="Invoice_Summary10"/>
      <sheetName val="Bill_111"/>
      <sheetName val="Bill_311"/>
      <sheetName val="Bill_411"/>
      <sheetName val="Bill_511"/>
      <sheetName val="Bill_611"/>
      <sheetName val="Bill_711"/>
      <sheetName val="POWER_ASSUMPTIONS10"/>
      <sheetName val="PROJECT_BRIEF11"/>
      <sheetName val="beam-reinft-IIInd_floor10"/>
      <sheetName val="C_(3)11"/>
      <sheetName val="2_Div_14_11"/>
      <sheetName val="Dubai_golf10"/>
      <sheetName val="Activity_List9"/>
      <sheetName val="beam-reinft-machine_rm10"/>
      <sheetName val="Civil_Boq9"/>
      <sheetName val="Softscape_Buildup9"/>
      <sheetName val="Mat'l_Rate9"/>
      <sheetName val="PA-_Consutant_7"/>
      <sheetName val="WITHOUT_C&amp;I_PROFIT_(3)9"/>
      <sheetName val="DETAILED__BOQ7"/>
      <sheetName val="M-Book_for_Conc7"/>
      <sheetName val="M-Book_for_FW7"/>
      <sheetName val="HIRED_LABOUR_CODE7"/>
      <sheetName val="foot-slab_reinft7"/>
      <sheetName val="BILL_COV7"/>
      <sheetName val="Ra__stair7"/>
      <sheetName val="Materials_Cost(PCC)6"/>
      <sheetName val="India_F&amp;S_Template6"/>
      <sheetName val="IO_LIST6"/>
      <sheetName val="Material_6"/>
      <sheetName val="Quote_Sheet6"/>
      <sheetName val="Day_work6"/>
      <sheetName val="VALVE_CHAMBERS6"/>
      <sheetName val="Fire_Hydrants6"/>
      <sheetName val="B_GATE_VALVE6"/>
      <sheetName val="Sub_G1_Fire6"/>
      <sheetName val="Sub_G12_Fire6"/>
      <sheetName val="CHART_OF_ACCOUNTS5"/>
      <sheetName val="E-Bill_No_6_A-O5"/>
      <sheetName val="B185-B-9_15"/>
      <sheetName val="B185-B-9_25"/>
      <sheetName val="B09_15"/>
      <sheetName val="BOQ_Direct_selling_cost6"/>
      <sheetName val="PMWeb_data5"/>
      <sheetName val="SS_MH5"/>
      <sheetName val="Eq__Mobilization5"/>
      <sheetName val="w't_table4"/>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Elemental_Buildup4"/>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Working_for_RCC5"/>
      <sheetName val="2_2)Revised_Cash_Flow4"/>
      <sheetName val="PointNo_5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입찰내역_발주처_양식4"/>
      <sheetName val="Material_List_4"/>
      <sheetName val="/VWVU))tÏØ0__4"/>
      <sheetName val="Index_List4"/>
      <sheetName val="Type_List4"/>
      <sheetName val="File_Types4"/>
      <sheetName val="Chiet_t4"/>
      <sheetName val="Staffing_and_Rates_IA4"/>
      <sheetName val="Summary_of_Work2"/>
      <sheetName val="PRECAST_lightconc-II6"/>
      <sheetName val="final_abstract6"/>
      <sheetName val="Staff_Acco_2"/>
      <sheetName val="TBAL9697_-group_wise__sdpl2"/>
      <sheetName val="SITE_WORK1"/>
      <sheetName val="Рабочий_лист1"/>
      <sheetName val="Employee_List2"/>
      <sheetName val="E_&amp;_R2"/>
      <sheetName val="Rate_summary1"/>
      <sheetName val="d-safe_DELUXE1"/>
      <sheetName val="Back_up1"/>
      <sheetName val="PT_141-_Site_A_Landscape1"/>
      <sheetName val="RAB_AR&amp;STR1"/>
      <sheetName val="INDIGINEOUS_ITEMS_1"/>
      <sheetName val="train_cash1"/>
      <sheetName val="accom_cash1"/>
      <sheetName val="Duct_Accesories1"/>
      <sheetName val="Mall_waterproofing1"/>
      <sheetName val="MSCP_waterproofing1"/>
      <sheetName val="????_???_??1"/>
      <sheetName val="Common_Variables1"/>
      <sheetName val="[SHOPLIST_xls]70,/0s«iÆøí¬i1"/>
      <sheetName val="GPL_Revenu_Update1"/>
      <sheetName val="DO_NOT_TOUCH1"/>
      <sheetName val="Work_Type1"/>
      <sheetName val="Labour_&amp;_Plant1"/>
      <sheetName val="Ave_wtd_rates1"/>
      <sheetName val="Debits_as_on_12_04_081"/>
      <sheetName val="STAFFSCHED_1"/>
      <sheetName val="TRIAL_BALANCE1"/>
      <sheetName val="[SHOPLIST_xls][SHOPLIST_xls]701"/>
      <sheetName val="PROJECT_BRIEF(EX_NEW)1"/>
      <sheetName val="[SHOPLIST_xls]70,/0s«_iÆø_í¬"/>
      <sheetName val="Risk_Breakdown_Structure"/>
      <sheetName val="AREA_OF_APPLICATION"/>
      <sheetName val="Z- GENERAL PRICE SUMMARY"/>
      <sheetName val="INDEX"/>
      <sheetName val="mw"/>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HIRED_LABOUR_CODE8"/>
      <sheetName val="PA-_Consutant_8"/>
      <sheetName val="foot-slab_reinft8"/>
      <sheetName val="Softscape_Buildup10"/>
      <sheetName val="Mat'l_Rate10"/>
      <sheetName val="VALVE_CHAMBERS7"/>
      <sheetName val="Fire_Hydrants7"/>
      <sheetName val="B_GATE_VALVE7"/>
      <sheetName val="Sub_G1_Fire7"/>
      <sheetName val="Sub_G12_Fire7"/>
      <sheetName val="Activity_List10"/>
      <sheetName val="BILL_COV8"/>
      <sheetName val="Ra__stair8"/>
      <sheetName val="DETAILED__BOQ8"/>
      <sheetName val="M-Book_for_Conc8"/>
      <sheetName val="M-Book_for_FW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w't_table5"/>
      <sheetName val="B185-B-9_16"/>
      <sheetName val="B185-B-9_26"/>
      <sheetName val="CHART_OF_ACCOUNTS6"/>
      <sheetName val="BOQ_Direct_selling_cost7"/>
      <sheetName val="Elemental_Buildup5"/>
      <sheetName val="PointNo_55"/>
      <sheetName val="Index_List5"/>
      <sheetName val="Type_List5"/>
      <sheetName val="File_Types5"/>
      <sheetName val="E-Bill_No_6_A-O6"/>
      <sheetName val="PMWeb_data6"/>
      <sheetName val="SS_MH6"/>
      <sheetName val="Material_List_5"/>
      <sheetName val="2_2)Revised_Cash_Flow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RAB_AR&amp;STR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Risk_Breakdown_Structure1"/>
      <sheetName val="Geneí¬_i1"/>
      <sheetName val="steel_total1"/>
      <sheetName val="ELE_BOQ1"/>
      <sheetName val="Project_Cost_Breakdown2"/>
      <sheetName val="LIST_DO_NOT_REMOVE3"/>
      <sheetName val="B6_2_3"/>
      <sheetName val="Item-_Compact2"/>
      <sheetName val="Annex_1_Sect_3a2"/>
      <sheetName val="Annex_1_Sect_3a_12"/>
      <sheetName val="Annex_1_Sect_3b2"/>
      <sheetName val="Annex_1_Sect_3c2"/>
      <sheetName val="HOURLY_RATES2"/>
      <sheetName val="Geneí¬_i"/>
      <sheetName val="steel_total"/>
      <sheetName val="ELE_BOQ"/>
      <sheetName val="1-G1"/>
      <sheetName val="instructions"/>
      <sheetName val="Summ"/>
      <sheetName val="Architect"/>
      <sheetName val="Resumo Empreitadas"/>
      <sheetName val="Payment"/>
      <sheetName val="Input"/>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PRJ_DATA"/>
      <sheetName val="gen"/>
      <sheetName val="% prog figs -u5 and total"/>
      <sheetName val="rc01"/>
      <sheetName val="ConferenceCentre_x005f_x0000_옰ʒ"/>
      <sheetName val="70_x005f_x0000_,_0_x005f_x0000_"/>
      <sheetName val="Gra¦_x0004_)_x0000__x0000__x0"/>
      <sheetName val="_VW_x0000_VU_x0000_)_x0000__x"/>
      <sheetName val="_VW"/>
      <sheetName val="_VWVU))tÏØ0  "/>
      <sheetName val="_VWVU))tÏØ0__"/>
      <sheetName val="__-BLDG"/>
      <sheetName val="_x005f_x0000__x005f_x0000__x005"/>
      <sheetName val="Geneí¬_x005f_x0008_i_x000"/>
      <sheetName val="BaseWeight"/>
      <sheetName val="VIABILITY"/>
      <sheetName val="calculation_LC"/>
      <sheetName val="금융비용"/>
      <sheetName val="Home"/>
      <sheetName val="Floor Box "/>
      <sheetName val="PPA Summary"/>
      <sheetName val="Interior"/>
      <sheetName val="Mix Design"/>
      <sheetName val="std-rates"/>
      <sheetName val="[SHOPLIST.xls]/VW"/>
      <sheetName val="[SHOPLIST.xls]/VWVU))tÏØ0  "/>
      <sheetName val="[SHOPLIST.xls]/VWVU))tÏØ0__"/>
      <sheetName val="Vendors"/>
      <sheetName val="analysis"/>
      <sheetName val="Equipment Rates"/>
      <sheetName val="Food"/>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Z-_GENERAL_PRICE_SUMMARY"/>
      <sheetName val="Resumo_Empreitadas"/>
      <sheetName val="PPA_Summary"/>
      <sheetName val="Mix_Design"/>
      <sheetName val="%_prog_figs_-u5_and_total"/>
      <sheetName val="Gra¦)_x0"/>
      <sheetName val="_VWVU)_x"/>
      <sheetName val="_VWVU))tÏØ0__1"/>
      <sheetName val="Floor_Box_"/>
      <sheetName val="Cashflow projection"/>
      <sheetName val="dv_info"/>
      <sheetName val="Floor_Box_1"/>
      <sheetName val="[SHOPLIST.xls]/VW_x0000_VU_x0000_)_x0000__x0000__x0000_)_x0000__x0000__x0000_"/>
      <sheetName val="[SHOPLIST.xls][SHOPLIST.xls][SH"/>
      <sheetName val="FORM5"/>
      <sheetName val="E H - H. W.P."/>
      <sheetName val="E. H. Treatment for pile cap"/>
      <sheetName val="SRC-B3U2"/>
      <sheetName val="Equip"/>
      <sheetName val="[SHOPLIST.xls][SHOPLIST.xls]70_"/>
      <sheetName val="Internet"/>
      <sheetName val="superseded"/>
      <sheetName val="Confidential"/>
      <sheetName val="Form 6"/>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AC"/>
      <sheetName val="C1ㅇ"/>
      <sheetName val="Dash board"/>
      <sheetName val="ACC"/>
      <sheetName val="70,"/>
      <sheetName val="ConferenceCentre?옰ʒ䄂ʒ鵠ʐ䄂ʒ閐̐脭め_x0005_"/>
      <sheetName val="[SHOPLIST.xls]70"/>
      <sheetName val="[SHOPLIST.xls]70,"/>
      <sheetName val="Rates"/>
      <sheetName val="Final"/>
      <sheetName val="Base BM-rebar"/>
      <sheetName val="Materials "/>
      <sheetName val="Labour"/>
      <sheetName val="MAchinery(R1)"/>
      <sheetName val="Site Dev BOQ"/>
      <sheetName val="Labour Costs"/>
      <sheetName val="opstat"/>
      <sheetName val="costs"/>
      <sheetName val="Data Sheet"/>
      <sheetName val="allowances"/>
      <sheetName val="tender allowances"/>
      <sheetName val=" Summary BKG 034"/>
      <sheetName val="BILL 3R"/>
      <sheetName val="anti-termite"/>
      <sheetName val="Auswahl"/>
      <sheetName val="Areas_with_SF"/>
      <sheetName val="Area Breakdown PER LEVEL_LINK"/>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Projects"/>
      <sheetName val="1.2 Staff Schedule"/>
      <sheetName val="Bill.10"/>
      <sheetName val="[SHOPLIST.xls]/VWVU))tÏØ0__1"/>
      <sheetName val="[SHOPLIST.xls]/VWVU))tÏØ0__2"/>
      <sheetName val="[SHOPLIST.xls]/VWVU))tÏØ0__3"/>
      <sheetName val="[SHOPLIST.xls]70,/0s«_iÆø_í¬_i"/>
      <sheetName val="[SHOPLIST.xls]70?,/0?s«i?Æøí¬i?"/>
      <sheetName val="CSC"/>
      <sheetName val="BLOCK-A (MEA.SHEET)"/>
      <sheetName val="1_2_Staff_Schedule"/>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Z-_GENERAL_PRICE_SUMMARY1"/>
      <sheetName val="Resumo_Empreitadas1"/>
      <sheetName val="PPA_Summary1"/>
      <sheetName val="Mix_Design1"/>
      <sheetName val="%_prog_figs_-u5_and_total1"/>
      <sheetName val="_VWVU))tÏØ0__2"/>
      <sheetName val="Floor_Box_2"/>
      <sheetName val="[SHOPLIST_xls]/VW"/>
      <sheetName val="[SHOPLIST_xls]/VWVU))tÏØ0__"/>
      <sheetName val="[SHOPLIST_xls]/VWVU))tÏØ0__1"/>
      <sheetName val="Equipment_Rates"/>
      <sheetName val="Cashflow_projection"/>
      <sheetName val="[SHOPLIST_xls][SHOPLIST_xls]70_"/>
      <sheetName val="[SHOPLIST_xls]/VWVU))"/>
      <sheetName val="E_H_-_H__W_P_"/>
      <sheetName val="E__H__Treatment_for_pile_cap"/>
      <sheetName val="[SHOPLIST_xls][SHOPLIST_xls][SH"/>
      <sheetName val="Site_Dev_BOQ"/>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Dash_board"/>
      <sheetName val="[SHOPLIST_xls]70"/>
      <sheetName val="[SHOPLIST_xls]70,"/>
      <sheetName val="Base_BM-rebar"/>
      <sheetName val="Materials_"/>
      <sheetName val="Data_Sheet"/>
      <sheetName val="tender_allowances"/>
      <sheetName val="_Summary_BKG_034"/>
      <sheetName val="BILL_3R"/>
      <sheetName val="Area_Breakdown_PER_LEVEL_LINK"/>
      <sheetName val="CF_Input"/>
      <sheetName val="DATA_INPUT"/>
      <sheetName val="Vordruck-Nr__7_1_3_D"/>
      <sheetName val="M&amp;A_D"/>
      <sheetName val="M&amp;A_E"/>
      <sheetName val="M&amp;A_G"/>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Cost Heading"/>
      <sheetName val="D &amp; W sizes"/>
      <sheetName val="DetEst"/>
      <sheetName val="SOPMA DD"/>
      <sheetName val="Project"/>
      <sheetName val="PRICE INFO"/>
      <sheetName val="RC SUMMARY"/>
      <sheetName val="LABOUR PRODUCTIVITY-TAV"/>
      <sheetName val="MATERIAL PRICES"/>
      <sheetName val="Base_Data"/>
      <sheetName val="P-100.MRF.DB.R1"/>
      <sheetName val="Rate_analysis11"/>
      <sheetName val="Contract Division"/>
      <sheetName val="SubContract Type"/>
      <sheetName val="Service Type"/>
      <sheetName val="RMOPS"/>
      <sheetName val="SubS2"/>
      <sheetName val="LMP"/>
      <sheetName val="PC"/>
      <sheetName val="Dropdowns"/>
      <sheetName val="Attach 4-18"/>
      <sheetName val="TTL"/>
      <sheetName val="做法表"/>
      <sheetName val="_SHOPLIST.xls_70"/>
      <sheetName val="_SHOPLIST.xls_70,_0s«iÆøí¬i"/>
      <sheetName val="door"/>
      <sheetName val="window"/>
      <sheetName val="Material&amp;equipment"/>
      <sheetName val="A1-Continuous"/>
      <sheetName val="sheet6"/>
      <sheetName val="Ewaan Show Kitchen (2)"/>
      <sheetName val="Cash Flow Working"/>
      <sheetName val="MN T.B."/>
      <sheetName val="COMPLEXALL"/>
      <sheetName val="AREAS"/>
      <sheetName val="Labour Rate "/>
      <sheetName val="(M+L)"/>
      <sheetName val="Names&amp;Cases"/>
      <sheetName val="Data I (2)"/>
      <sheetName val="rEFERENCES "/>
      <sheetName val="DIV2"/>
      <sheetName val="DIV3"/>
      <sheetName val="DIV4"/>
      <sheetName val="DIV7"/>
      <sheetName val="DIV9"/>
      <sheetName val="KAP-2_C1_ALBAHA_GRID_POINT_NGL"/>
      <sheetName val="SO"/>
      <sheetName val="Qtys ZamZam (Del. before)"/>
      <sheetName val="Qtys Relocation (Del before)"/>
      <sheetName val=" Qtys Sub &amp; Tents (Del. before)"/>
      <sheetName val="Qtys  Signages (Del. before)"/>
      <sheetName val="Qtys Temporary Passages (Del)"/>
      <sheetName val=" Qtys Ser. Rooms (Del before)"/>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Z-_GENERAL_PRICE_SUMMARY2"/>
      <sheetName val="Resumo_Empreitadas2"/>
      <sheetName val="PPA_Summary2"/>
      <sheetName val="Mix_Design2"/>
      <sheetName val="%_prog_figs_-u5_and_total2"/>
      <sheetName val="_VWVU))tÏØ0__3"/>
      <sheetName val="Floor_Box_3"/>
      <sheetName val="[SHOPLIST_xls]/VW1"/>
      <sheetName val="Equipment_Rates1"/>
      <sheetName val="Cashflow_projection1"/>
      <sheetName val="[SHOPLIST_xls][SHOPLIST_xls][S1"/>
      <sheetName val="E_H_-_H__W_P_1"/>
      <sheetName val="E__H__Treatment_for_pile_cap1"/>
      <sheetName val="[SHOPLIST_xls][SHOPLIST_xls]707"/>
      <sheetName val="Materials_1"/>
      <sheetName val="Hic_150EOffice"/>
      <sheetName val="Results"/>
      <sheetName val="BOQp4"/>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SHOPLIST_xls]701"/>
      <sheetName val="[SHOPLIST_xls]70,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Base_BM-rebar1"/>
      <sheetName val="Data_Sheet1"/>
      <sheetName val="tender_allowances1"/>
      <sheetName val="_Summary_BKG_0341"/>
      <sheetName val="BILL_3R1"/>
      <sheetName val="Area_Breakdown_PER_LEVEL_LINK1"/>
      <sheetName val="CF_Input1"/>
      <sheetName val="DATA_INPUT1"/>
      <sheetName val="Vordruck-Nr__7_1_3_D1"/>
      <sheetName val="M&amp;A_D1"/>
      <sheetName val="M&amp;A_E1"/>
      <sheetName val="M&amp;A_G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2F 회의실견적(5_14 일대)"/>
      <sheetName val=" HIT-&gt;HMC 견적(3900)"/>
      <sheetName val="DATI_CONS"/>
      <sheetName val="STAIR-A"/>
      <sheetName val="B1"/>
      <sheetName val="Appendix B"/>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Config-C"/>
      <sheetName val="Service"/>
      <sheetName val="Detbal"/>
      <sheetName val="Harewood"/>
      <sheetName val="BOQ (2)"/>
      <sheetName val="Names"/>
      <sheetName val="LABOUR RATE"/>
      <sheetName val="Material Rate"/>
      <sheetName val="Labor abs-PW"/>
      <sheetName val="Labor abs-NMR"/>
      <sheetName val="grid"/>
      <sheetName val="para"/>
      <sheetName val="kppl pl"/>
      <sheetName val="Basic Rate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hist&amp;proj"/>
      <sheetName val="Package-2"/>
      <sheetName val="Combined Results "/>
      <sheetName val="Cashflow"/>
      <sheetName val="RA"/>
      <sheetName val="Balance Sheet"/>
      <sheetName val="Flight-1"/>
      <sheetName val="Estimation"/>
      <sheetName val="Finansal tamamlanma Eğrisi"/>
      <sheetName val="2 Plex"/>
      <sheetName val="Sheet1 (2)"/>
      <sheetName val="4 Plex"/>
      <sheetName val="6 Plex "/>
      <sheetName val="Detailed Summary"/>
      <sheetName val="Sheet1 (3)"/>
      <sheetName val="Sheet1 (4)"/>
      <sheetName val="Print"/>
      <sheetName val="May 05"/>
      <sheetName val="April 05"/>
      <sheetName val="Aug 05"/>
      <sheetName val="July 05"/>
      <sheetName val="June 05"/>
      <sheetName val="Nov 05"/>
      <sheetName val="Oct 05"/>
      <sheetName val="Sep 05"/>
      <sheetName val="工程量"/>
      <sheetName val="11"/>
      <sheetName val="Div.07 Thermal &amp; Moisture"/>
      <sheetName val="[SHOPLIST.xls][SHOPLIST.xls]/VW"/>
      <sheetName val="Calculations"/>
      <sheetName val="Bill-1"/>
      <sheetName val="precast RC element"/>
      <sheetName val="pile Fabrication"/>
      <sheetName val="BHANDUP"/>
      <sheetName val="AOP Summary-2"/>
      <sheetName val="02"/>
      <sheetName val="03"/>
      <sheetName val="04"/>
      <sheetName val="01"/>
      <sheetName val="钢筋"/>
      <sheetName val="PLT-SUM"/>
      <sheetName val="Data Validation"/>
      <sheetName val="TOSHIBA-Structure"/>
      <sheetName val="NKC6"/>
      <sheetName val="Div26 - Elect"/>
      <sheetName val="CHUNG CU CARRILON"/>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Rate_analysis12"/>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3"/>
      <sheetName val="[SHOPLIST_xls]/VWVU))tÏØ0__8"/>
      <sheetName val="[SHOPLIST_xls]/VWVU))tÏØ0__9"/>
      <sheetName val="Cashflow_projection3"/>
      <sheetName val="[SHOPLIST_xls][SHOPLIST_xls]711"/>
      <sheetName val="E_H_-_H__W_P_3"/>
      <sheetName val="E__H__Treatment_for_pile_cap3"/>
      <sheetName val="[SHOPLIST_xls][SHOPLIST_xls][S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Dash_board3"/>
      <sheetName val="[SHOPLIST_xls]703"/>
      <sheetName val="[SHOPLIST_xls]70,3"/>
      <sheetName val="Base_BM-rebar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Contract_Division1"/>
      <sheetName val="SubContract_Type1"/>
      <sheetName val="Service_Type1"/>
      <sheetName val="Cost_Heading"/>
      <sheetName val="D_&amp;_W_sizes"/>
      <sheetName val="SOPMA_DD"/>
      <sheetName val="PRICE_INFO"/>
      <sheetName val="RC_SUMMARY"/>
      <sheetName val="LABOUR_PRODUCTIVITY-TAV"/>
      <sheetName val="MATERIAL_PRICES"/>
      <sheetName val="P-100_MRF_DB_R1"/>
      <sheetName val="Attach_4-18"/>
      <sheetName val="_SHOPLIST_xls_70"/>
      <sheetName val="_SHOPLIST_xls_70,_0s«iÆøí¬i"/>
      <sheetName val="Ewaan_Show_Kitchen_(2)"/>
      <sheetName val="Cash_Flow_Working"/>
      <sheetName val="MN_T_B_"/>
      <sheetName val="Data_I_(2)"/>
      <sheetName val="rEFERENCES_"/>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Rate_analysis13"/>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Tables"/>
      <sheetName val="PRL"/>
      <sheetName val="PB"/>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BOQ_(2)"/>
      <sheetName val="LABOUR_RATE"/>
      <sheetName val="Material_Rate"/>
      <sheetName val="Labor_abs-PW"/>
      <sheetName val="Labor_abs-NMR"/>
      <sheetName val="kppl_pl"/>
      <sheetName val="Basic_Rates"/>
      <sheetName val="Combined_Results_"/>
      <sheetName val="Div_07_Thermal_&amp;_Moisture"/>
      <sheetName val="precast_RC_element"/>
      <sheetName val="pile_Fabrication"/>
      <sheetName val="AOP_Summary-2"/>
      <sheetName val="May_05"/>
      <sheetName val="April_05"/>
      <sheetName val="Aug_05"/>
      <sheetName val="July_05"/>
      <sheetName val="June_05"/>
      <sheetName val="Nov_05"/>
      <sheetName val="Oct_05"/>
      <sheetName val="Sep_05"/>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70_x0000_,/0_x0000_s«_x0008_i_x"/>
      <sheetName val="ConferenceCentre_x005f_x005f_x0"/>
      <sheetName val="Geneí¬_x005f_x005f_x005f_x0008_"/>
      <sheetName val="70_x005f_x005f_x005f_x0000_,_0_"/>
      <sheetName val="[SHOPLIST.xls][SHOPLIST.xls]70"/>
      <sheetName val="B-3.2 EB"/>
      <sheetName val="Ragama"/>
      <sheetName val="B-3"/>
      <sheetName val="[SHOPLIST.xls]/VWVU))tÏØ0__4"/>
      <sheetName val="LANGUAGE"/>
      <sheetName val="Dropdown List"/>
      <sheetName val="GS"/>
      <sheetName val="1 - Main Building"/>
      <sheetName val="1 - Summary"/>
      <sheetName val="2 - Landscaping Works"/>
      <sheetName val="2 - Summary"/>
      <sheetName val="4 - Bldg Infra"/>
      <sheetName val="4 - Summary"/>
      <sheetName val="New Bld"/>
      <sheetName val="HB CEC schd 4.2"/>
      <sheetName val="HB CEC schd 4.3"/>
      <sheetName val="HB CEC schd 5.2"/>
      <sheetName val="HB CEC schd 6.2"/>
      <sheetName val="HB CEC schd 7.2"/>
      <sheetName val="HB CEC schd 9.2"/>
      <sheetName val="Doha Farm"/>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Sheet Index"/>
      <sheetName val="4"/>
      <sheetName val="Core Data"/>
      <sheetName val="Qty-UG"/>
      <sheetName val="Summary "/>
      <sheetName val="B04-A - DIA SUDEER"/>
      <sheetName val="04D - Tanmyat"/>
      <sheetName val="13- B04-B &amp; C"/>
      <sheetName val=" SITE 09 B04-B&amp;C-AFAQ"/>
      <sheetName val="Trade Summary"/>
      <sheetName val="Report"/>
      <sheetName val="PROCTOR"/>
      <sheetName val="Status Summary"/>
      <sheetName val="Estimate for approval"/>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HWDG"/>
      <sheetName val="Rate_analysis15"/>
      <sheetName val="Finansal_tamamlanma_Eğrisi"/>
      <sheetName val="Balance_Sheet"/>
      <sheetName val="2_Plex"/>
      <sheetName val="Sheet1_(2)"/>
      <sheetName val="4_Plex"/>
      <sheetName val="6_Plex_"/>
      <sheetName val="Detailed_Summary"/>
      <sheetName val="Sheet1_(3)"/>
      <sheetName val="Sheet1_(4)"/>
      <sheetName val="KP1590_E"/>
      <sheetName val="Model"/>
      <sheetName val="CONSTRUCTION COMPONENT"/>
      <sheetName val="ce"/>
      <sheetName val="[SHOPLIST.xls]/VWVU))tÏØ0__5"/>
      <sheetName val="[SHOPLIST.xls]/VWVU))tÏØ0__6"/>
      <sheetName val="[SHOPLIST.xls]/VWVU))tÏØ0__7"/>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_SHOPLIST.xls_70_x0000_,_0_x000"/>
      <sheetName val="_SHOPLIST.xls__SHOPLIST.xls_70_"/>
      <sheetName val="_SHOPLIST.xls__SHOPLIST.xls_70,"/>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Cost_any"/>
      <sheetName val="Set"/>
      <sheetName val="L3-WBS Mapping"/>
      <sheetName val="BAFO CCL Submission"/>
      <sheetName val="70,/0s«iÆøí¬"/>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Estimate_for_approval"/>
      <sheetName val="PDT(L)1"/>
      <sheetName val="ARBQ"/>
      <sheetName val="CIF COST ITEM"/>
      <sheetName val="Rates for public areas"/>
      <sheetName val="Abs PMRL"/>
      <sheetName val="slipsumpR"/>
      <sheetName val="Specialist"/>
      <sheetName val="Manpower"/>
      <sheetName val="Deliverables"/>
      <sheetName val="[SHOPLIST.xls][SH"/>
      <sheetName val="[SHOPLIST.xls]70_"/>
      <sheetName val="70,/0s«iÆøí¬i1"/>
      <sheetName val="70,/0s«_iÆø_í¬"/>
      <sheetName val="70,/0s«iÆøí¬i2"/>
      <sheetName val="70,/0s«iÆøí¬i3"/>
      <sheetName val="New_Bld"/>
      <sheetName val="DDL"/>
      <sheetName val="SCHEDULE"/>
      <sheetName val="Recon Template"/>
      <sheetName val="공문"/>
      <sheetName val="[SHOPLIST.xls]/VWVU))tÏØ0__8"/>
      <sheetName val="[SHOPLIST.xls]/VWVU))tÏØ0__9"/>
      <sheetName val="Master data"/>
      <sheetName val="Build-up"/>
      <sheetName val="P1926-H2B Pkg 2A&amp;2B"/>
      <sheetName val="P1940-H2B Pkg 1 Guestrooms"/>
      <sheetName val="P1929-DHCT"/>
      <sheetName val="税费"/>
      <sheetName val="[SHOPLIST_xls]70_"/>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Laundry"/>
      <sheetName val="Comp equip"/>
      <sheetName val="Section_by_layers_old"/>
      <sheetName val="Steel-Circular"/>
      <sheetName val="Backup"/>
      <sheetName val="piedathot"/>
      <sheetName val="projcasflo"/>
      <sheetName val="supdata"/>
      <sheetName val="devbud"/>
      <sheetName val="[SHOPLIST.xls]70_x0000_,/0_x0000_s«_x0008_i_x"/>
      <sheetName val="Pivots"/>
      <sheetName val="Basic Rate"/>
      <sheetName val="MASTER_RATE ANALYSIS"/>
      <sheetName val="BQLIST"/>
      <sheetName val="Det_Des"/>
      <sheetName val="DRUM"/>
      <sheetName val="P-Sum-Cab"/>
      <sheetName val="S"/>
      <sheetName val="EE-PROP"/>
      <sheetName val="MAIN SUMMARY"/>
      <sheetName val="主材价格"/>
      <sheetName val="_SHOPLIST.xls__SHOPLIST.xls_70"/>
      <sheetName val="ConferenceCentre_x0000_옰ʒ"/>
      <sheetName val="70_x0000_,_0_x0000_"/>
      <sheetName val="_x0000__x0000__x005"/>
      <sheetName val="Geneí¬_x0008_i_x000"/>
      <sheetName val="各楼量单项组价及与DAR单价对比"/>
      <sheetName val="70_,_0_s«_x0008_i_Æø_x0003_í¬_x"/>
      <sheetName val="____ ___ __"/>
      <sheetName val="_SHOPLIST_xls__SHOPLIST_xls_70"/>
      <sheetName val="_SHOPLIST_xls__SHOPLIST_xls_70,"/>
      <sheetName val="70,_0"/>
      <sheetName val="_x005"/>
      <sheetName val="Geneí¬i_x000"/>
      <sheetName val="70_,_0_s«i_Æøí¬_x"/>
      <sheetName val="_SHOPLIST_xls__SHOPLIST_xls_70_"/>
      <sheetName val="___________"/>
      <sheetName val="Sec__A-PQ"/>
      <sheetName val="Preamble_B"/>
      <sheetName val="Sec__C-Dayworks"/>
      <sheetName val="d5_"/>
      <sheetName val="70,/0s«i_x"/>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B2-DV No.02"/>
      <sheetName val="BOQ.1.92"/>
      <sheetName val="T&amp;M"/>
      <sheetName val="Other Cost Norms"/>
      <sheetName val="집계표"/>
      <sheetName val="개시대사 (2)"/>
      <sheetName val="Sheet_Index"/>
      <sheetName val="[SHOPLIST.xls]/VWVU))tÏØ0__10"/>
      <sheetName val="[SHOPLIST.xls]/VWVU))tÏØ0__11"/>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___________1"/>
      <sheetName val="[SHOPLIST_xls]/VWVU))tÏØ0__61"/>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 val="electrical"/>
      <sheetName val="B-3_2_EB"/>
      <sheetName val="Trade_Summary"/>
      <sheetName val="[SHOPLIST_xls]/VWVU))tÏØ0__7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GENERAL SUMMARY"/>
      <sheetName val="PRELIMINARIES"/>
      <sheetName val="SITE WORKS"/>
      <sheetName val="MASONRY"/>
      <sheetName val="METAL"/>
      <sheetName val="WOOD WORK"/>
      <sheetName val="THERMAL &amp; MOISTURE "/>
      <sheetName val="DOORS &amp; WINDOWS"/>
      <sheetName val="FINISHES"/>
      <sheetName val="SPECIALITIES"/>
      <sheetName val="MECHANICAL"/>
      <sheetName val="Additional Items"/>
      <sheetName val="ICM"/>
      <sheetName val="[SHOPLIST_xls]/VWVU))tÏØ0  "/>
      <sheetName val="Staff"/>
      <sheetName val="Staff OLD "/>
      <sheetName val="Account Codes"/>
      <sheetName val="[SHOPLIST_xls][SH"/>
      <sheetName val="Portfolio List"/>
      <sheetName val="Geneí¬ i_x0000__x0000_ _x0000_0"/>
      <sheetName val="70_x0000_,_0_x0000_s« i_x0000_Æ"/>
      <sheetName val="ConferenceCentre_옰ʒ䄂ʒ鵠ʐ䄂ʒ閐̐脭め_x"/>
      <sheetName val="_SHOPLIST.xls__VW_x0000_VU_x0"/>
      <sheetName val="Geneí¬_x005f_x005f_x005f_x005f_"/>
      <sheetName val="70_x005f_x005f_x005f_x005f_x005"/>
      <sheetName val="70,_0s«_iÆø_í¬_i"/>
      <sheetName val="_SHOPLIST_xls_70,_0s«iÆøí¬"/>
      <sheetName val="ConferenceCentre_옰ʒ䄂ʒ鵠ʐ䄂ʒ閐̐脭め"/>
      <sheetName val="_SHOPLIST.xls_70,"/>
      <sheetName val="_SHOPLIST_xls_70,_0s«_iÆø_í¬"/>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2gii"/>
      <sheetName val="CPA33-34"/>
      <sheetName val="Indices"/>
      <sheetName val="conc-foot-gradeslab"/>
      <sheetName val="المعادلات"/>
      <sheetName val="[SHOPLIST.xls]70,/0s«iÆøí¬"/>
      <sheetName val="L (4)"/>
      <sheetName val="Initial Data"/>
      <sheetName val="Package Status"/>
      <sheetName val="3"/>
      <sheetName val="SLHW"/>
      <sheetName val="Process"/>
      <sheetName val="Refinery"/>
      <sheetName val="Fructose"/>
      <sheetName val="Utilities"/>
      <sheetName val="Pipesizes"/>
      <sheetName val="TBEAM"/>
      <sheetName val="Appendix-A -GRAND SUMMARY"/>
      <sheetName val="D9 (New Rate)"/>
      <sheetName val="Validation"/>
      <sheetName val=" Estimate  "/>
      <sheetName val="Equip."/>
      <sheetName val="Book1"/>
      <sheetName val="6.2 Floor Finishes"/>
      <sheetName val="Grand Summary "/>
      <sheetName val="Bill No.01 - GI "/>
      <sheetName val="combined "/>
      <sheetName val="summary-Optional "/>
      <sheetName val="B14.02 "/>
      <sheetName val="B21"/>
      <sheetName val="B22"/>
      <sheetName val="B27"/>
      <sheetName val="Prov.Sum "/>
      <sheetName val="Ref Arch"/>
      <sheetName val="BUAs and Sales Forecast"/>
      <sheetName val="Lagoons Breakdown Prices"/>
      <sheetName val="Cover HW Z2 "/>
      <sheetName val="TOTAL WORK"/>
      <sheetName val="part 3"/>
      <sheetName val="pile Length for Easter fence"/>
      <sheetName val="Div 10-Specialities "/>
      <sheetName val="MALE &amp; FEMALE "/>
      <sheetName val="DISABLE"/>
      <sheetName val="VIP"/>
      <sheetName val="ABLUTION"/>
      <sheetName val="JANITOR"/>
      <sheetName val="Div Summary"/>
      <sheetName val="Cumulative Rail "/>
      <sheetName val="WATER DUCT - IC 21"/>
      <sheetName val="Ledger"/>
      <sheetName val="Data "/>
      <sheetName val="[SHOPLIST.xls]70___0_s__i_____2"/>
      <sheetName val="[SHOPLIST.xls]_VW__VU_________2"/>
      <sheetName val="[SHOPLIST.xls]_VW__VU_________3"/>
      <sheetName val="Asset Desc"/>
      <sheetName val="[SHOPLIST_xls][SHOPLIST_xls]/VW"/>
      <sheetName val="[SHOPLIST.xls]70,/0s«i_x"/>
      <sheetName val="MATERIALS"/>
      <sheetName val="Gene��_x0008_i_x0000__x0000__x0014__x0000_0."/>
      <sheetName val="70_x0000_,/0_x0000_s�_x0008_i_x0000_��_x0003_��_x0008_i_x0000_"/>
      <sheetName val="Top_sh_x0000__x0000__x0001_Ԁ"/>
      <sheetName val="GFA_HQ_Building31"/>
      <sheetName val="GFA_Conference30"/>
      <sheetName val="BQ_External30"/>
      <sheetName val="Penthouse_Apartment29"/>
      <sheetName val="StattCo_yCharges29"/>
      <sheetName val="Raw_Data29"/>
      <sheetName val="Bill_No__229"/>
      <sheetName val="Graph_Data_(DO_NOT_PRINT)29"/>
      <sheetName val="@risk_rents_and_incentives29"/>
      <sheetName val="Car_park_lease29"/>
      <sheetName val="Net_rent_analysis29"/>
      <sheetName val="Poz-1_29"/>
      <sheetName val="Chiet_tinh_dz2229"/>
      <sheetName val="Chiet_tinh_dz3529"/>
      <sheetName val="Lab_Cum_Hist29"/>
      <sheetName val="LABOUR_HISTOGRAM30"/>
      <sheetName val="FOL_-_Bar29"/>
      <sheetName val="CT_Thang_Mo29"/>
      <sheetName val="LEVEL_SHEET29"/>
      <sheetName val="SPT_vs_PHI29"/>
      <sheetName val="budget_summary_(2)28"/>
      <sheetName val="Budget_Analysis_Summary28"/>
      <sheetName val="CT__PL28"/>
      <sheetName val="Projet,_methodes_&amp;_couts28"/>
      <sheetName val="Risques_majeurs_&amp;_Frais_Ind_28"/>
      <sheetName val="Civil_Boq24"/>
      <sheetName val="beam-reinft-IIInd_floor25"/>
      <sheetName val="beam-reinft-machine_rm25"/>
      <sheetName val="Customize_Your_Invoice29"/>
      <sheetName val="HVAC_BoQ29"/>
      <sheetName val="Body_Sheet28"/>
      <sheetName val="1_0_Executive_Summary28"/>
      <sheetName val="Tender_Summary29"/>
      <sheetName val="Insurance_Ext29"/>
      <sheetName val="Top_sheet28"/>
      <sheetName val="intr_stool_brkup28"/>
      <sheetName val="Bill_126"/>
      <sheetName val="Bill_227"/>
      <sheetName val="Bill_326"/>
      <sheetName val="Bill_426"/>
      <sheetName val="Bill_526"/>
      <sheetName val="Bill_626"/>
      <sheetName val="Bill_726"/>
      <sheetName val="POWER_ASSUMPTIONS25"/>
      <sheetName val="Ap_A26"/>
      <sheetName val="2_Div_14_26"/>
      <sheetName val="PROJECT_BRIEF26"/>
      <sheetName val="C_(3)26"/>
      <sheetName val="Invoice_Summary25"/>
      <sheetName val="SHOPLIST_xls25"/>
      <sheetName val="Dubai_golf25"/>
      <sheetName val="Activity_List24"/>
      <sheetName val="WITHOUT_C&amp;I_PROFIT_(3)24"/>
      <sheetName val="BILL_COV22"/>
      <sheetName val="Ra__stair22"/>
      <sheetName val="VALVE_CHAMBERS21"/>
      <sheetName val="Fire_Hydrants21"/>
      <sheetName val="B_GATE_VALVE21"/>
      <sheetName val="Sub_G1_Fire21"/>
      <sheetName val="Sub_G12_Fire21"/>
      <sheetName val="Softscape_Buildup24"/>
      <sheetName val="Mat'l_Rate24"/>
      <sheetName val="DETAILED__BOQ22"/>
      <sheetName val="M-Book_for_Conc22"/>
      <sheetName val="M-Book_for_FW22"/>
      <sheetName val="HIRED_LABOUR_CODE22"/>
      <sheetName val="PA-_Consutant_22"/>
      <sheetName val="foot-slab_reinft22"/>
      <sheetName val="Day_work21"/>
      <sheetName val="CHART_OF_ACCOUNTS20"/>
      <sheetName val="E-Bill_No_6_A-O20"/>
      <sheetName val="Materials_Cost(PCC)21"/>
      <sheetName val="India_F&amp;S_Template21"/>
      <sheetName val="IO_LIST21"/>
      <sheetName val="Material_21"/>
      <sheetName val="Quote_Sheet21"/>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BOQ_Direct_selling_cost21"/>
      <sheetName val="B185-B-9_120"/>
      <sheetName val="B185-B-9_220"/>
      <sheetName val="Eq__Mobilization20"/>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w't_table19"/>
      <sheetName val="B09_120"/>
      <sheetName val="PointNo_519"/>
      <sheetName val="/VWVU))tÏØ0__21"/>
      <sheetName val="Working_for_RCC20"/>
      <sheetName val="Elemental_Buildup19"/>
      <sheetName val="PMWeb_data20"/>
      <sheetName val="SS_MH20"/>
      <sheetName val="2_2)Revised_Cash_Flow19"/>
      <sheetName val="Employee_List17"/>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Material_List_19"/>
      <sheetName val="PRECAST_lightconc-II21"/>
      <sheetName val="final_abstract21"/>
      <sheetName val="/VWVU))tÏØ0__20"/>
      <sheetName val="입찰내역_발주처_양식19"/>
      <sheetName val="LIST_DO_NOT_REMOVE18"/>
      <sheetName val="Index_List19"/>
      <sheetName val="Type_List19"/>
      <sheetName val="File_Types19"/>
      <sheetName val="Chiet_t19"/>
      <sheetName val="Staffing_and_Rates_IA19"/>
      <sheetName val="B6_2_18"/>
      <sheetName val="Project_Cost_Breakdown17"/>
      <sheetName val="Summary_of_Work17"/>
      <sheetName val="Staff_Acco_17"/>
      <sheetName val="TBAL9697_-group_wise__sdpl17"/>
      <sheetName val="Item-_Compact17"/>
      <sheetName val="E_&amp;_R17"/>
      <sheetName val="Рабочий_лист16"/>
      <sheetName val="PT_141-_Site_A_Landscape16"/>
      <sheetName val="d-safe_DELUXE16"/>
      <sheetName val="Annex_1_Sect_3a17"/>
      <sheetName val="Annex_1_Sect_3a_117"/>
      <sheetName val="Annex_1_Sect_3b17"/>
      <sheetName val="Annex_1_Sect_3c17"/>
      <sheetName val="HOURLY_RATES17"/>
      <sheetName val="SITE_WORK16"/>
      <sheetName val="Rate_summary16"/>
      <sheetName val="Mall_waterproofing16"/>
      <sheetName val="MSCP_waterproofing16"/>
      <sheetName val="RAB_AR&amp;STR16"/>
      <sheetName val="Back_up16"/>
      <sheetName val="INDIGINEOUS_ITEMS_16"/>
      <sheetName val="Duct_Accesories16"/>
      <sheetName val="[SHOPLIST_xls][SHOPLIST_xls]726"/>
      <sheetName val="????_???_??16"/>
      <sheetName val="Labour_&amp;_Plant16"/>
      <sheetName val="Ave_wtd_rates16"/>
      <sheetName val="Debits_as_on_12_04_0816"/>
      <sheetName val="STAFFSCHED_16"/>
      <sheetName val="TRIAL_BALANCE16"/>
      <sheetName val="[SHOPLIST_xls]70,/0s«iÆøí¬i16"/>
      <sheetName val="train_cash16"/>
      <sheetName val="accom_cash16"/>
      <sheetName val="Common_Variables16"/>
      <sheetName val="GPL_Revenu_Update16"/>
      <sheetName val="DO_NOT_TOUCH16"/>
      <sheetName val="Work_Type16"/>
      <sheetName val="Geneí¬_i15"/>
      <sheetName val="steel_total15"/>
      <sheetName val="ELE_BOQ15"/>
      <sheetName val="Resumo_Empreitadas12"/>
      <sheetName val="PROJECT_BRIEF(EX_NEW)16"/>
      <sheetName val="Floor_Box_13"/>
      <sheetName val="Cashflow_projection11"/>
      <sheetName val="PPA_Summary12"/>
      <sheetName val="Risk_Breakdown_Structure15"/>
      <sheetName val="AREA_OF_APPLICATION15"/>
      <sheetName val="%_prog_figs_-u5_and_total12"/>
      <sheetName val="_VWVU))tÏØ0__13"/>
      <sheetName val="[SHOPLIST_xls]7011"/>
      <sheetName val="[SHOPLIST_xls]70,11"/>
      <sheetName val="[SHOPLIST_xls]/VW11"/>
      <sheetName val="[SHOPLIST_xls]/VWVU))tÏØ0__55"/>
      <sheetName val="[SHOPLIST_xls]/VWVU))tÏØ0__56"/>
      <sheetName val="Bill_1011"/>
      <sheetName val="Cost_Heading8"/>
      <sheetName val="Mix_Design12"/>
      <sheetName val="Form_611"/>
      <sheetName val="Data_Sheet11"/>
      <sheetName val="Z-_GENERAL_PRICE_SUMMARY12"/>
      <sheetName val="Materials_11"/>
      <sheetName val="Equipment_Rates11"/>
      <sheetName val="Base_BM-rebar11"/>
      <sheetName val="Labour_Rate_8"/>
      <sheetName val="Service_Type9"/>
      <sheetName val="Contract_Division9"/>
      <sheetName val="SubContract_Type9"/>
      <sheetName val="Div_07_Thermal_&amp;_Moisture2"/>
      <sheetName val="Data_Validation2"/>
      <sheetName val="Div26_-_Elect2"/>
      <sheetName val="CHUNG_CU_CARRILON2"/>
      <sheetName val="[SHOPLIST_xls][SHOPLIST_xls][11"/>
      <sheetName val="_SHOPLIST_xls_708"/>
      <sheetName val="_SHOPLIST_xls_70,_0s«iÆøí¬i8"/>
      <sheetName val="D_&amp;_W_sizes8"/>
      <sheetName val="SOPMA_DD8"/>
      <sheetName val="[SHOPLIST_xls][SHOPLIST_xls]727"/>
      <sheetName val="E_H_-_H__W_P_11"/>
      <sheetName val="E__H__Treatment_for_pile_cap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Area_Breakdown_PER_LEVEL_LINK11"/>
      <sheetName val="CF_Input11"/>
      <sheetName val="DATA_INPUT11"/>
      <sheetName val="Vordruck-Nr__7_1_3_D11"/>
      <sheetName val="M&amp;A_D11"/>
      <sheetName val="M&amp;A_E11"/>
      <sheetName val="M&amp;A_G11"/>
      <sheetName val="Attach_4-188"/>
      <sheetName val="tender_allowances11"/>
      <sheetName val="_Summary_BKG_03411"/>
      <sheetName val="BILL_3R11"/>
      <sheetName val="BLOCK-A_(MEA_SHEET)11"/>
      <sheetName val="Labour_Costs11"/>
      <sheetName val="Ewaan_Show_Kitchen_(2)8"/>
      <sheetName val="Cash_Flow_Working8"/>
      <sheetName val="MN_T_B_8"/>
      <sheetName val="Data_I_(2)8"/>
      <sheetName val="rEFERENCES_8"/>
      <sheetName val="Qtys_ZamZam_(Del__before)8"/>
      <sheetName val="Qtys_Relocation_(Del_before)8"/>
      <sheetName val="_Qtys_Sub_&amp;_Tents_(Del__before8"/>
      <sheetName val="Qtys__Signages_(Del__before)8"/>
      <sheetName val="Qtys_Temporary_Passages_(Del)8"/>
      <sheetName val="_Qtys_Ser__Rooms_(Del_before)8"/>
      <sheetName val="Finansal_tamamlanma_Eğrisi2"/>
      <sheetName val="BOQ_(2)2"/>
      <sheetName val="LABOUR_RATE2"/>
      <sheetName val="Material_Rate2"/>
      <sheetName val="Labor_abs-PW2"/>
      <sheetName val="Labor_abs-NMR2"/>
      <sheetName val="kppl_pl2"/>
      <sheetName val="Basic_Rates2"/>
      <sheetName val="Combined_Results_2"/>
      <sheetName val="Site_Dev_BOQ11"/>
      <sheetName val="AOP_Summary-23"/>
      <sheetName val="Dash_board11"/>
      <sheetName val="precast_RC_element2"/>
      <sheetName val="pile_Fabrication2"/>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Appendix_B4"/>
      <sheetName val="2F_회의실견적(5_14_일대)4"/>
      <sheetName val="_HIT-&gt;HMC_견적(3900)4"/>
      <sheetName val="HB_CEC_schd_4_22"/>
      <sheetName val="HB_CEC_schd_4_32"/>
      <sheetName val="HB_CEC_schd_5_22"/>
      <sheetName val="HB_CEC_schd_6_22"/>
      <sheetName val="HB_CEC_schd_7_22"/>
      <sheetName val="HB_CEC_schd_9_22"/>
      <sheetName val="Doha_Farm2"/>
      <sheetName val="Dropdown_List2"/>
      <sheetName val="New_Bld2"/>
      <sheetName val="Balance_Sheet1"/>
      <sheetName val="Estimate_for_approval1"/>
      <sheetName val="Summary_1"/>
      <sheetName val="B04-A_-_DIA_SUDEER1"/>
      <sheetName val="04D_-_Tanmyat1"/>
      <sheetName val="13-_B04-B_&amp;_C1"/>
      <sheetName val="_SITE_09_B04-B&amp;C-AFAQ1"/>
      <sheetName val="[SHOPLIST_xls]/VWVU))tÏØ0__60"/>
      <sheetName val="[SHOPLIST_xls][SHOPLIST_xls]728"/>
      <sheetName val="Sheet_Index1"/>
      <sheetName val="Status_Summary2"/>
      <sheetName val="Sec__A-PQ2"/>
      <sheetName val="Preamble_B2"/>
      <sheetName val="Sec__C-Dayworks2"/>
      <sheetName val="d5_2"/>
      <sheetName val="Asset_Allocation_(CR)2"/>
      <sheetName val="Project_Benchmarking2"/>
      <sheetName val="1_-_Main_Building2"/>
      <sheetName val="1_-_Summary2"/>
      <sheetName val="2_-_Landscaping_Works2"/>
      <sheetName val="2_-_Summary2"/>
      <sheetName val="4_-_Bldg_Infra2"/>
      <sheetName val="4_-_Summary2"/>
      <sheetName val="Dashboard_(1)2"/>
      <sheetName val="VO_Agreed_to_Unifier_Sum2"/>
      <sheetName val="VO_Not_yet_Agreed_to_Unifier2"/>
      <sheetName val="VO_Anticipated_to_Unifier2"/>
      <sheetName val="EW_to_Unifier2"/>
      <sheetName val="Prov_Sums2"/>
      <sheetName val="Other_Amounts2"/>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Core_Data"/>
      <sheetName val="BOQ_1_92"/>
      <sheetName val="CIF_COST_ITEM"/>
      <sheetName val="Rates_for_public_areas"/>
      <sheetName val="[SHOPLIST_xls]/VWVU))tÏØ0__62"/>
      <sheetName val="[SHOPLIST_xls]/VWVU))tÏØ0__63"/>
      <sheetName val="Abs_PMRL"/>
      <sheetName val="Recon_Template"/>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_SHOPLIST_xls_70,_0_x000"/>
      <sheetName val="_SHOPLIST_xls__SHOPLIST_xls_704"/>
      <sheetName val="_SHOPLIST_xls__SHOPLIST_xls_705"/>
      <sheetName val="quotation_"/>
      <sheetName val="Bill_5_-_Carpark"/>
      <sheetName val="BOQ_-_summary__3"/>
      <sheetName val="NKSC_thue"/>
      <sheetName val="05__Data_Cash_Flow"/>
      <sheetName val="MTO_REV_2(ARMOR)"/>
      <sheetName val="L3-WBS_Mapping"/>
      <sheetName val="BAFO_CCL_Submission"/>
      <sheetName val="[SHOPLIST_xls]/VWVU))tÏØ0__81"/>
      <sheetName val="[SHOPLIST_xls]/VWVU))tÏØ0__91"/>
      <sheetName val="_SHOPLIST_xls__SHOPLIST_xls_706"/>
      <sheetName val="___________2"/>
      <sheetName val="[SHOPLIST_xls]70_1"/>
      <sheetName val="P1926-H2B_Pkg_2A&amp;2B"/>
      <sheetName val="P1940-H2B_Pkg_1_Guestrooms"/>
      <sheetName val="B2-DV_No_02"/>
      <sheetName val="[SHOPLIST_xls]70,/0s«i_x"/>
      <sheetName val="Ref_Arch"/>
      <sheetName val="Data_"/>
      <sheetName val="GENERAL_SUMMARY"/>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WIP"/>
      <sheetName val="Contractor Application"/>
      <sheetName val="08 MEP Summary"/>
      <sheetName val="03B1"/>
      <sheetName val="03B2"/>
      <sheetName val="Addnl works"/>
      <sheetName val="VARIATIONS"/>
      <sheetName val="B3. Material on Site-Detail"/>
      <sheetName val="Joseph Record"/>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BoQ-22-8-2019"/>
      <sheetName val="Tech"/>
      <sheetName val="[SHOPLIST.xls]/VWVU))tÏØ0__17"/>
      <sheetName val="[SHOPLIST.xls]/VWVU))tÏØ0__16"/>
      <sheetName val="[SHOPLIST.xls]/VWVU))tÏØ0__14"/>
      <sheetName val="[SHOPLIST.xls]/VWVU))tÏØ0__12"/>
      <sheetName val="[SHOPLIST.xls]/VWVU))tÏØ0__13"/>
      <sheetName val="[SHOPLIST.xls]/VWVU))tÏØ0__15"/>
      <sheetName val="[SHOPLIST.xls]/VWVU))tÏØ0__18"/>
      <sheetName val="[SHOPLIST.xls]/VWVU))tÏØ0__19"/>
      <sheetName val="_board7"/>
      <sheetName val="_boaboard (1)"/>
      <sheetName val="[SHOPLIST.xls]70,/0s«iÆøí¬i1"/>
      <sheetName val="[SHOPLIST.xls]70,/0s«_iÆø_í¬"/>
      <sheetName val="[SHOPLIST.xls]70,/0s«iÆøí¬i2"/>
      <sheetName val="[SHOPLIST.xls]70,/0s«iÆøí¬i3"/>
      <sheetName val="/VWVU))"/>
      <sheetName val="701"/>
      <sheetName val="70,1"/>
      <sheetName val="[SHOPLIST_xls][S1"/>
      <sheetName val="702"/>
      <sheetName val="70,2"/>
      <sheetName val="[SHOPLIST_xls][S2"/>
      <sheetName val="National"/>
      <sheetName val="Top_s灨ὔ밀ὔ턀"/>
      <sheetName val="Top_s๨ꫝ_x0000__x0000_퀀"/>
      <sheetName val="IO"/>
      <sheetName val="FAL intern"/>
      <sheetName val="Weekly"/>
      <sheetName val="S-Curve Update"/>
      <sheetName val="Electrical_database"/>
      <sheetName val="Wordsdata"/>
      <sheetName val="TABLO-3"/>
      <sheetName val="Transport"/>
      <sheetName val="Indirect"/>
      <sheetName val="Comp_equip"/>
      <sheetName val="[SHOPLIST.xls]70_x005f_x0000_,/0_x000"/>
      <sheetName val="SI 22"/>
      <sheetName val="TO List"/>
      <sheetName val="Qualifications"/>
      <sheetName val="CCTV DATA"/>
      <sheetName val="Contractor_Application"/>
      <sheetName val="08_MEP_Summary"/>
      <sheetName val="Addnl_works"/>
      <sheetName val="B3__Material_on_Site-Detail"/>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BQMPALOC"/>
      <sheetName val="COLUMNS"/>
      <sheetName val="VESSELS "/>
      <sheetName val="[SHOPLIST.xls][SHOPLIST.xls]70?"/>
      <sheetName val="Drop down"/>
      <sheetName val="BORDGC"/>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BULD.3"/>
      <sheetName val="BLOCK K"/>
      <sheetName val="제출내역 (2)"/>
      <sheetName val="[SH"/>
      <sheetName val="70_"/>
      <sheetName val="703"/>
      <sheetName val="70,/0s«iÆøí¬i4"/>
      <sheetName val="[SHOPLIST.xls]/VW"/>
      <sheetName val="70,/0s«iÆøí¬i5"/>
      <sheetName val="Micro"/>
      <sheetName val="Detail Page"/>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8.0 Programme"/>
      <sheetName val="FLOOR AND CEILING"/>
      <sheetName val="area comp 2011 01 18 (2)"/>
      <sheetName val="Bill3-Basement"/>
      <sheetName val="drop down lists"/>
      <sheetName val="PH 5"/>
      <sheetName val="BM"/>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SHOPLIST.xls][SHOPLIST.xls]7_2"/>
      <sheetName val="[SHOPLIST.xls][SHOPLIST.xls]7_3"/>
      <sheetName val="Reference"/>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Démol."/>
      <sheetName val="Ravalement"/>
      <sheetName val="GAE8'97"/>
      <sheetName val="Overall"/>
      <sheetName val="Gene��_x0008_i"/>
      <sheetName val="Top_sh"/>
      <sheetName val="ورقة2"/>
      <sheetName val="LTR-2"/>
      <sheetName val="[SHOPLIST.xls]70_x005f_x0000___0_x0_2"/>
      <sheetName val="[SHOPLIST.xls]70___0_s__i_____3"/>
      <sheetName val="[SHOPLIST.xls]70___0_s__i_____4"/>
      <sheetName val="[SHOPLIST.xls][SHOPLIST.xls]7_4"/>
      <sheetName val="[SHOPLIST.xls][SHOPLIST_xls]7_2"/>
      <sheetName val="[SHOPLIST.xls][SHOPLIST_xls]7_3"/>
      <sheetName val="[SHOPLIST.xls][SHOPLIST.xls]__2"/>
      <sheetName val="[SHOPLIST.xls][SHOPLIST_xls]7_4"/>
      <sheetName val="[SHOPLIST.xls][SHOPLIST_xls]7_5"/>
      <sheetName val="[SHOPLIST.xls][SHOPLIST.xls]__3"/>
      <sheetName val="[SHOPLIST.xls][SHOPLIST.xls]__4"/>
      <sheetName val="[SHOPLIST.xls][SHOPLIST.xls]__5"/>
      <sheetName val="[SHOPLIST.xls][SHOPLIST.xls]__6"/>
      <sheetName val="[SHOPLIST.xls][SHOPLIST.xls]__7"/>
      <sheetName val="[SHOPLIST.xls][SHOPLIST.xls]__8"/>
      <sheetName val="[SHOPLIST.xls][SHOPLIST.xls]7_5"/>
      <sheetName val="[SHOPLIST.xls][SHOPLIST.xls]7_6"/>
      <sheetName val="[SHOPLIST.xls][SHOPLIST.xls]__9"/>
      <sheetName val="[SHOPLIST.xls][SHOPLIST_xls]7_6"/>
      <sheetName val="[SHOPLIST.xls][SHOPLIST_xls]7_7"/>
      <sheetName val="[SHOPLIST.xls][SHOPLIST_xls]7_8"/>
      <sheetName val="[SHOPLIST.xls][SHOPLIST.xls]_10"/>
      <sheetName val="[SHOPLIST.xls][SHOPLIST.xls]_11"/>
      <sheetName val="[SHOPLIST.xls][SHOPLIST.xls]_12"/>
      <sheetName val="[SHOPLIST.xls][SHOPLIST_xls]__2"/>
      <sheetName val="[SHOPLIST.xls][SHOPLIST_xls]__3"/>
      <sheetName val="[SHOPLIST.xls][SHOPLIST_xls]__4"/>
      <sheetName val="[SHOPLIST.xls][SHOPLIST_xls]__5"/>
      <sheetName val="[SHOPLIST.xls][SHOPLIST_xls]7_9"/>
      <sheetName val="[SHOPLIST.xls][SHOPLIST_xls]__6"/>
      <sheetName val="[SHOPLIST.xls][SHOPLIST_xls]__7"/>
      <sheetName val="[SHOPLIST.xls][SHOPLIST_xls]__8"/>
      <sheetName val="[SHOPLIST.xls][SHOPLIST_xls]_10"/>
      <sheetName val="[SHOPLIST.xls][SHOPLIST_xls]_11"/>
      <sheetName val="[SHOPLIST.xls][SHOPLIST_xls]_12"/>
      <sheetName val="[SHOPLIST.xls][SHOPLIST_xls]__9"/>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xls]_13"/>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70_x005f_x005f_x005f_x0000__2"/>
      <sheetName val="[SHOPLIST.xls][SHOPLIST.xls]7_7"/>
      <sheetName val="[SHOPLIST.xls][SHOPLIST.xls]_14"/>
      <sheetName val="[SHOPLIST.xls][SHOPLIST.xls]_15"/>
      <sheetName val="[SHOPLIST.xls][SHOPLIST_xls]_83"/>
      <sheetName val="[SHOPLIST.xls][SHOPLIST_xls]_84"/>
      <sheetName val="[SHOPLIST.xls][SHOPLIST_xls]_85"/>
      <sheetName val="[SHOPLIST.xls][SHOPLIST.xls]7_8"/>
      <sheetName val="[SHOPLIST.xls][SHOPLIST.xls]7_9"/>
      <sheetName val="[SHOPLIST.xls][SHOPLIST.xls]_16"/>
      <sheetName val="[SHOPLIST.xls][SHOPLIST.xls]_17"/>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_SHOPLIST_xls_101"/>
      <sheetName val="[SHOPLIST.xls]_SHOPLIST_xls_102"/>
      <sheetName val="[SHOPLIST.xls]/VWVU))"/>
      <sheetName val="[SHOPLIST.xls]_SHOPLIST_xls_103"/>
      <sheetName val="intr_stool_brkup_x0000_"/>
      <sheetName val="Landscape No.1"/>
      <sheetName val="MEP No.3"/>
      <sheetName val="[SHOPLIST.xls]70___0_s__i_____5"/>
      <sheetName val="[SHOPLIST.xls]_VW__VU_________4"/>
      <sheetName val="[SHOPLIST.xls]_VW__VU_________5"/>
      <sheetName val="[SHOPLIST.xls]70_x005f_x0000___0_x0_3"/>
      <sheetName val="[SHOPLIST.xls]70___0_s__i_____6"/>
      <sheetName val="[SHOPLIST.xls]70___0_s__i_____7"/>
      <sheetName val="[SHOPLIST.xls][SHOPLIST.xls]_18"/>
      <sheetName val="[SHOPLIST.xls][SHOPLIST.xls]_19"/>
      <sheetName val="[SHOPLIST.xls]_SHOPLIST_xls_104"/>
      <sheetName val="[SHOPLIST.xls]_SHOPLIST_xls_105"/>
      <sheetName val="[SHOPLIST.xls]_SHOPLIST_xls_106"/>
      <sheetName val="[SHOPLIST.xls][SHOPLIST.xls]_20"/>
      <sheetName val="[SHOPLIST.xls][SHOPLIST.xls]_21"/>
      <sheetName val="[SHOPLIST.xls][SHOPLIST.xls]_22"/>
      <sheetName val="[SHOPLIST.xls][SHOPLIST.xls]_23"/>
      <sheetName val="[SHOPLIST.xls][SHOPLIST.xls]_24"/>
      <sheetName val="[SHOPLIST.xls][SHOPLIST.xls]_25"/>
      <sheetName val="[SHOPLIST.xls][SHOPLIST.xls]_26"/>
      <sheetName val="[SHOPLIST.xls]_SHOPLIST_xls_107"/>
      <sheetName val="[SHOPLIST.xls][SHOPLIST.xls]_27"/>
      <sheetName val="[SHOPLIST.xls][SHOPLIST.xls]_28"/>
      <sheetName val="[SHOPLIST.xls][SHOPLIST.xls]_29"/>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SHOPLIST.xls]_38"/>
      <sheetName val="[SHOPLIST.xls][SHOPLIST.xls]_39"/>
      <sheetName val="[SHOPLIST.xls][SHOPLIST.xls]_40"/>
      <sheetName val="[SHOPLIST.xls][SHOPLIST.xls]_41"/>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70___0_s__i_____8"/>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70_x005f_x005f_x005f_x0000__3"/>
      <sheetName val="[SHOPLIST.xls]_SHOPLIST_xls_318"/>
      <sheetName val="[SHOPLIST.xls]_SHOPLIST_xls_319"/>
      <sheetName val="ConferenceCentre_옰ʒ䄂ʒ鵠ʐ䄂ʒ閐̐脭め_x0005_"/>
      <sheetName val="예가표"/>
      <sheetName val="Trade_Summary1"/>
      <sheetName val="B-3_2_EB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CONSTRUCTION_COMPONENT1"/>
      <sheetName val="[SHOPLIST_xls]/VWVU))tÏØ0__72"/>
      <sheetName val="[SHOPLIST_xls][SHOPLIST_xls]/V1"/>
      <sheetName val="[SHOPLIST_xls][SH1"/>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Other_Cost_Norms"/>
      <sheetName val="TB_ALJADA"/>
      <sheetName val="Plot_Area"/>
      <sheetName val="Closing_entries"/>
      <sheetName val="Executive_Summary"/>
      <sheetName val="Sales_Tracking_Report_(STR)"/>
      <sheetName val="Blocking_Tracking_Report_(BTR)"/>
      <sheetName val="Bill_No_1"/>
      <sheetName val="[SHOPLIST_xls]70,/0s«iÆøí¬1"/>
      <sheetName val="Item List OLD"/>
      <sheetName val="KEYFIGURES"/>
      <sheetName val="_SHOPLIST.xls__VWVU))tÏØ0__5"/>
      <sheetName val="_SHOPLIST.xls__VWVU))tÏØ0__6"/>
      <sheetName val="___________3"/>
      <sheetName val="_SHOPLIST.xls__VWVU))tÏØ0__7"/>
      <sheetName val="___________4"/>
      <sheetName val="Geneí¬_x005f_x0008_"/>
      <sheetName val="70_x005f_x0000_,_0_"/>
      <sheetName val="___________5"/>
      <sheetName val="_SHOPLIST_xls__VWVU))"/>
      <sheetName val="___________6"/>
      <sheetName val="_SHOPLIST_xls__VW1"/>
      <sheetName val="_SHOPLIST_xls__SHOPLIST_xls__S1"/>
      <sheetName val="_SHOPLIST_xls__SHOPLIST_xls_707"/>
      <sheetName val="___________7"/>
      <sheetName val="_SHOPLIST_xls__SHOPLIST_xls_708"/>
      <sheetName val="_SHOPLIST_xls__VW2"/>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VWVU))tÏØ0__14"/>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SHOPLIST_xls_70,_0s«iÆøí¬i9"/>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GFA_HQ_Building32"/>
      <sheetName val="GFA_Conference31"/>
      <sheetName val="BQ_External31"/>
      <sheetName val="Graph_Data_(DO_NOT_PRINT)30"/>
      <sheetName val="StattCo_yCharges30"/>
      <sheetName val="Penthouse_Apartment30"/>
      <sheetName val="LABOUR_HISTOGRAM31"/>
      <sheetName val="Chiet_tinh_dz2230"/>
      <sheetName val="Chiet_tinh_dz3530"/>
      <sheetName val="@risk_rents_and_incentives30"/>
      <sheetName val="Car_park_lease30"/>
      <sheetName val="Net_rent_analysis30"/>
      <sheetName val="Poz-1_30"/>
      <sheetName val="Lab_Cum_Hist30"/>
      <sheetName val="Raw_Data30"/>
      <sheetName val="Bill_No__230"/>
      <sheetName val="CT_Thang_Mo30"/>
      <sheetName val="budget_summary_(2)29"/>
      <sheetName val="Budget_Analysis_Summary29"/>
      <sheetName val="LEVEL_SHEET30"/>
      <sheetName val="SPT_vs_PHI30"/>
      <sheetName val="CT__PL29"/>
      <sheetName val="Projet,_methodes_&amp;_couts29"/>
      <sheetName val="Risques_majeurs_&amp;_Frais_Ind_29"/>
      <sheetName val="FOL_-_Bar30"/>
      <sheetName val="intr_stool_brkup29"/>
      <sheetName val="Tender_Summary30"/>
      <sheetName val="Insurance_Ext30"/>
      <sheetName val="Customize_Your_Invoice30"/>
      <sheetName val="HVAC_BoQ30"/>
      <sheetName val="Body_Sheet29"/>
      <sheetName val="1_0_Executive_Summary29"/>
      <sheetName val="Rate_analysis16"/>
      <sheetName val="Top_sheet29"/>
      <sheetName val="Ap_A27"/>
      <sheetName val="SHOPLIST_xls26"/>
      <sheetName val="Bill_228"/>
      <sheetName val="2_Div_14_27"/>
      <sheetName val="beam-reinft-IIInd_floor26"/>
      <sheetName val="beam-reinft-machine_rm26"/>
      <sheetName val="Bill_127"/>
      <sheetName val="Bill_327"/>
      <sheetName val="Bill_427"/>
      <sheetName val="Bill_527"/>
      <sheetName val="Bill_627"/>
      <sheetName val="Bill_727"/>
      <sheetName val="POWER_ASSUMPTIONS26"/>
      <sheetName val="Invoice_Summary26"/>
      <sheetName val="PROJECT_BRIEF27"/>
      <sheetName val="Civil_Boq25"/>
      <sheetName val="C_(3)27"/>
      <sheetName val="Dubai_golf26"/>
      <sheetName val="WITHOUT_C&amp;I_PROFIT_(3)25"/>
      <sheetName val="HIRED_LABOUR_CODE23"/>
      <sheetName val="PA-_Consutant_23"/>
      <sheetName val="foot-slab_reinft23"/>
      <sheetName val="Softscape_Buildup25"/>
      <sheetName val="Mat'l_Rate25"/>
      <sheetName val="VALVE_CHAMBERS22"/>
      <sheetName val="Fire_Hydrants22"/>
      <sheetName val="B_GATE_VALVE22"/>
      <sheetName val="Sub_G1_Fire22"/>
      <sheetName val="Sub_G12_Fire22"/>
      <sheetName val="Activity_List25"/>
      <sheetName val="BILL_COV23"/>
      <sheetName val="Ra__stair23"/>
      <sheetName val="DETAILED__BOQ23"/>
      <sheetName val="M-Book_for_Conc23"/>
      <sheetName val="M-Book_for_FW23"/>
      <sheetName val="Materials_Cost(PCC)22"/>
      <sheetName val="India_F&amp;S_Template22"/>
      <sheetName val="IO_LIST22"/>
      <sheetName val="Material_22"/>
      <sheetName val="Quote_Sheet22"/>
      <sheetName val="Day_work22"/>
      <sheetName val="Working_for_RCC21"/>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Elemental_Buildup20"/>
      <sheetName val="Eq__Mobilization21"/>
      <sheetName val="w't_table20"/>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BOQ_Direct_selling_cost22"/>
      <sheetName val="CHART_OF_ACCOUNTS21"/>
      <sheetName val="B185-B-9_121"/>
      <sheetName val="B185-B-9_221"/>
      <sheetName val="Material_List_20"/>
      <sheetName val="E-Bill_No_6_A-O21"/>
      <sheetName val="/VWVU))tÏØ0__23"/>
      <sheetName val="B09_121"/>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PMWeb_data21"/>
      <sheetName val="PointNo_520"/>
      <sheetName val="SS_MH21"/>
      <sheetName val="2_2)Revised_Cash_Flow20"/>
      <sheetName val="입찰내역_발주처_양식20"/>
      <sheetName val="/VWVU))tÏØ0__22"/>
      <sheetName val="LIST_DO_NOT_REMOVE19"/>
      <sheetName val="Index_List20"/>
      <sheetName val="Type_List20"/>
      <sheetName val="File_Types20"/>
      <sheetName val="Chiet_t20"/>
      <sheetName val="Staffing_and_Rates_IA20"/>
      <sheetName val="Employee_List18"/>
      <sheetName val="PRECAST_lightconc-II22"/>
      <sheetName val="final_abstract22"/>
      <sheetName val="B6_2_19"/>
      <sheetName val="Project_Cost_Breakdown18"/>
      <sheetName val="Summary_of_Work18"/>
      <sheetName val="Item-_Compact18"/>
      <sheetName val="E_&amp;_R18"/>
      <sheetName val="Staff_Acco_18"/>
      <sheetName val="TBAL9697_-group_wise__sdpl18"/>
      <sheetName val="SITE_WORK17"/>
      <sheetName val="Рабочий_лист17"/>
      <sheetName val="PT_141-_Site_A_Landscape17"/>
      <sheetName val="Rate_summary17"/>
      <sheetName val="Annex_1_Sect_3a18"/>
      <sheetName val="Annex_1_Sect_3a_118"/>
      <sheetName val="Annex_1_Sect_3b18"/>
      <sheetName val="Annex_1_Sect_3c18"/>
      <sheetName val="HOURLY_RATES18"/>
      <sheetName val="RAB_AR&amp;STR17"/>
      <sheetName val="d-safe_DELUXE17"/>
      <sheetName val="Back_up17"/>
      <sheetName val="INDIGINEOUS_ITEMS_17"/>
      <sheetName val="train_cash17"/>
      <sheetName val="accom_cash17"/>
      <sheetName val="Mall_waterproofing17"/>
      <sheetName val="MSCP_waterproofing17"/>
      <sheetName val="Duct_Accesories17"/>
      <sheetName val="????_???_??17"/>
      <sheetName val="Labour_&amp;_Plant17"/>
      <sheetName val="Ave_wtd_rates17"/>
      <sheetName val="Debits_as_on_12_04_0817"/>
      <sheetName val="STAFFSCHED_17"/>
      <sheetName val="TRIAL_BALANCE17"/>
      <sheetName val="[SHOPLIST_xls][SHOPLIST_xls]729"/>
      <sheetName val="Common_Variables17"/>
      <sheetName val="[SHOPLIST_xls]70,/0s«iÆøí¬i17"/>
      <sheetName val="GPL_Revenu_Update17"/>
      <sheetName val="DO_NOT_TOUCH17"/>
      <sheetName val="Work_Type17"/>
      <sheetName val="PROJECT_BRIEF(EX_NEW)17"/>
      <sheetName val="AREA_OF_APPLICATION16"/>
      <sheetName val="Risk_Breakdown_Structure16"/>
      <sheetName val="Geneí¬_i16"/>
      <sheetName val="steel_total16"/>
      <sheetName val="ELE_BOQ16"/>
      <sheetName val="Z-_GENERAL_PRICE_SUMMARY13"/>
      <sheetName val="PPA_Summary13"/>
      <sheetName val="Mix_Design13"/>
      <sheetName val="Resumo_Empreitadas13"/>
      <sheetName val="%_prog_figs_-u5_and_total13"/>
      <sheetName val="Floor_Box_14"/>
      <sheetName val="Equipment_Rates12"/>
      <sheetName val="[SHOPLIST_xls]/VW12"/>
      <sheetName val="[SHOPLIST_xls]/VWVU))tÏØ0__64"/>
      <sheetName val="Cashflow_projection12"/>
      <sheetName val="[SHOPLIST_xls][SHOPLIST_xls]730"/>
      <sheetName val="E_H_-_H__W_P_12"/>
      <sheetName val="E__H__Treatment_for_pile_cap12"/>
      <sheetName val="[SHOPLIST_xls][SHOPLIST_xls][12"/>
      <sheetName val="Materials_12"/>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Dash_board12"/>
      <sheetName val="[SHOPLIST_xls]7012"/>
      <sheetName val="[SHOPLIST_xls]70,12"/>
      <sheetName val="Base_BM-rebar12"/>
      <sheetName val="Site_Dev_BOQ12"/>
      <sheetName val="Data_Sheet12"/>
      <sheetName val="tender_allowances12"/>
      <sheetName val="_Summary_BKG_03412"/>
      <sheetName val="BILL_3R12"/>
      <sheetName val="Area_Breakdown_PER_LEVEL_LINK12"/>
      <sheetName val="CF_Input12"/>
      <sheetName val="DATA_INPUT12"/>
      <sheetName val="Vordruck-Nr__7_1_3_D12"/>
      <sheetName val="M&amp;A_D12"/>
      <sheetName val="M&amp;A_E12"/>
      <sheetName val="M&amp;A_G12"/>
      <sheetName val="1_2_Staff_Schedule13"/>
      <sheetName val="Bill_1012"/>
      <sheetName val="[SHOPLIST_xls]/VWVU))tÏØ0__65"/>
      <sheetName val="[SHOPLIST_xls]/VWVU))tÏØ0__66"/>
      <sheetName val="[SHOPLIST_xls]/VWVU))tÏØ0__67"/>
      <sheetName val="[SHOPLIST_xls]70,/0s«_iÆø_í¬_12"/>
      <sheetName val="[SHOPLIST_xls]70?,/0?s«i?Æøí¬12"/>
      <sheetName val="Labour_Costs12"/>
      <sheetName val="BLOCK-A_(MEA_SHEET)12"/>
      <sheetName val="Cost_Heading9"/>
      <sheetName val="Labour_Rate_9"/>
      <sheetName val="D_&amp;_W_sizes9"/>
      <sheetName val="SOPMA_DD9"/>
      <sheetName val="PRICE_INFO9"/>
      <sheetName val="RC_SUMMARY9"/>
      <sheetName val="LABOUR_PRODUCTIVITY-TAV9"/>
      <sheetName val="MATERIAL_PRICES9"/>
      <sheetName val="P-100_MRF_DB_R19"/>
      <sheetName val="Contract_Division10"/>
      <sheetName val="SubContract_Type10"/>
      <sheetName val="Service_Type10"/>
      <sheetName val="Attach_4-189"/>
      <sheetName val="Ewaan_Show_Kitchen_(2)9"/>
      <sheetName val="Cash_Flow_Working9"/>
      <sheetName val="MN_T_B_9"/>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2F_회의실견적(5_14_일대)5"/>
      <sheetName val="_HIT-&gt;HMC_견적(3900)5"/>
      <sheetName val="Appendix_B5"/>
      <sheetName val="Div_07_Thermal_&amp;_Moisture3"/>
      <sheetName val="BOQ_(2)3"/>
      <sheetName val="LABOUR_RATE3"/>
      <sheetName val="Material_Rate3"/>
      <sheetName val="Labor_abs-PW3"/>
      <sheetName val="Labor_abs-NMR3"/>
      <sheetName val="kppl_pl3"/>
      <sheetName val="Basic_Rates3"/>
      <sheetName val="Combined_Results_3"/>
      <sheetName val="precast_RC_element3"/>
      <sheetName val="pile_Fabrication3"/>
      <sheetName val="Data_Validation3"/>
      <sheetName val="Div26_-_Elect3"/>
      <sheetName val="CHUNG_CU_CARRILON3"/>
      <sheetName val="[SHOPLIST_xls][SHOPLIST_xls]731"/>
      <sheetName val="[SHOPLIST_xls]/VWVU))tÏØ0__68"/>
      <sheetName val="Core_Data1"/>
      <sheetName val="[SHOPLIST_xls]/VWVU))tÏØ0__69"/>
      <sheetName val="[SHOPLIST_xls]/VWVU))tÏØ0__70"/>
      <sheetName val="CIF_COST_ITEM1"/>
      <sheetName val="Rates_for_public_areas1"/>
      <sheetName val="Abs_PMRL1"/>
      <sheetName val="Recon_Template1"/>
      <sheetName val="Master_data"/>
      <sheetName val="Basic_Rate"/>
      <sheetName val="MASTER_RATE_ANALYSIS"/>
      <sheetName val="SUBS SUM"/>
      <sheetName val="BoQ(2)"/>
      <sheetName val="tower and monopoles "/>
      <sheetName val="Drop_Down_Data1"/>
      <sheetName val="Rules_1"/>
      <sheetName val="L3-WBS_Mapping1"/>
      <sheetName val="BAFO_CCL_Submission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MFG"/>
      <sheetName val="Surbhi"/>
      <sheetName val="XL4Test5"/>
      <sheetName val="P-Ins &amp; Bonds"/>
      <sheetName val="P-Ins_&amp;_Bonds"/>
      <sheetName val="BFS"/>
      <sheetName val="ASD Sum of Parts"/>
      <sheetName val="개시대사_(2)"/>
      <sheetName val="6_2_Floor_Finishes"/>
      <sheetName val="Div_Summary"/>
      <sheetName val="MAIN_SUMMARY"/>
      <sheetName val="Staff_OLD_"/>
      <sheetName val="Cumulative_Rail_"/>
      <sheetName val="Finansal_tamamlanma_Eğrisi3"/>
      <sheetName val="New_Bld3"/>
      <sheetName val="HB_CEC_schd_4_23"/>
      <sheetName val="HB_CEC_schd_4_33"/>
      <sheetName val="HB_CEC_schd_5_23"/>
      <sheetName val="HB_CEC_schd_6_23"/>
      <sheetName val="HB_CEC_schd_7_23"/>
      <sheetName val="HB_CEC_schd_9_23"/>
      <sheetName val="Doha_Farm3"/>
      <sheetName val="Dropdown_List3"/>
      <sheetName val="[SHOPLIST_xls]/VWVU))tÏØ0__82"/>
      <sheetName val="[SHOPLIST_xls]/VWVU))tÏØ0__92"/>
      <sheetName val="P1926-H2B_Pkg_2A&amp;2B1"/>
      <sheetName val="P1940-H2B_Pkg_1_Guestrooms1"/>
      <sheetName val="BOQ_1_921"/>
      <sheetName val="[SHOPLIST_xls]/VWVU))tÏØ0__73"/>
      <sheetName val="[SHOPLIST_xls]/VWVU))tÏØ0__74"/>
      <sheetName val="[SHOPLIST_xls]/VWVU))tÏØ0__75"/>
      <sheetName val="Appendix-A_-GRAND_SUMMARY"/>
      <sheetName val="D9_(New_Rate)"/>
      <sheetName val="Grand_Summary_"/>
      <sheetName val="Bill_No_01_-_GI_"/>
      <sheetName val="combined_"/>
      <sheetName val="summary-Optional_"/>
      <sheetName val="B14_02_"/>
      <sheetName val="Prov_Sum_"/>
      <sheetName val="Joseph_Record"/>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Portfolio_List"/>
      <sheetName val="Initial_Data"/>
      <sheetName val="Package_Status"/>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4"/>
      <sheetName val="EATON SUMMARY"/>
      <sheetName val="Sump"/>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Spacing of Delineators"/>
      <sheetName val="Basement Budget"/>
      <sheetName val="MI"/>
      <sheetName val="Data Works"/>
      <sheetName val="Works"/>
      <sheetName val="UC-Testing"/>
      <sheetName val="Control Panel"/>
      <sheetName val="Bill 3 Boutique"/>
      <sheetName val="BREAKDOWN"/>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Rectangular Duct"/>
      <sheetName val="C-1"/>
      <sheetName val="PC "/>
      <sheetName val="Val"/>
      <sheetName val="App - A "/>
      <sheetName val="App- B "/>
      <sheetName val="App - C "/>
      <sheetName val="App - D "/>
      <sheetName val="App - E "/>
      <sheetName val="App - F"/>
      <sheetName val="App - G "/>
      <sheetName val="App - H"/>
      <sheetName val="2"/>
      <sheetName val="7"/>
      <sheetName val="8"/>
      <sheetName val="9"/>
      <sheetName val="15"/>
      <sheetName val="16"/>
      <sheetName val="17"/>
      <sheetName val="18"/>
      <sheetName val="C-2"/>
      <sheetName val="Concrete Breakdown"/>
      <sheetName val="Masonry Breakdown"/>
      <sheetName val="6"/>
      <sheetName val="May_054"/>
      <sheetName val="April_054"/>
      <sheetName val="Aug_054"/>
      <sheetName val="July_054"/>
      <sheetName val="June_054"/>
      <sheetName val="Nov_054"/>
      <sheetName val="Oct_054"/>
      <sheetName val="Sep_054"/>
      <sheetName val="B-3_2_EB2"/>
      <sheetName val="1_-_Main_Building3"/>
      <sheetName val="1_-_Summary3"/>
      <sheetName val="2_-_Landscaping_Works3"/>
      <sheetName val="2_-_Summary3"/>
      <sheetName val="4_-_Bldg_Infra3"/>
      <sheetName val="4_-_Summary3"/>
      <sheetName val="Trade_Summary2"/>
      <sheetName val="2_Plex3"/>
      <sheetName val="Sheet1_(2)3"/>
      <sheetName val="4_Plex3"/>
      <sheetName val="6_Plex_3"/>
      <sheetName val="Detailed_Summary3"/>
      <sheetName val="Sheet1_(3)3"/>
      <sheetName val="Sheet1_(4)3"/>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heet_Index2"/>
      <sheetName val="Status_Summary3"/>
      <sheetName val="Balance_Sheet2"/>
      <sheetName val="[SHOPLIST_xls]/VWVU))tÏØ0__76"/>
      <sheetName val="[SHOPLIST_xls]/VWVU))tÏØ0__77"/>
      <sheetName val="Sec__A-PQ3"/>
      <sheetName val="Preamble_B3"/>
      <sheetName val="Sec__C-Dayworks3"/>
      <sheetName val="d5_3"/>
      <sheetName val="AOP_Summary-24"/>
      <sheetName val="CONSTRUCTION_COMPONENT2"/>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Dashboard_(1)3"/>
      <sheetName val="VO_Agreed_to_Unifier_Sum3"/>
      <sheetName val="VO_Not_yet_Agreed_to_Unifier3"/>
      <sheetName val="VO_Anticipated_to_Unifier3"/>
      <sheetName val="EW_to_Unifier3"/>
      <sheetName val="Prov_Sums3"/>
      <sheetName val="Other_Amounts3"/>
      <sheetName val="Asset_Allocation_(CR)3"/>
      <sheetName val="Project_Benchmarking3"/>
      <sheetName val="Estimate_for_approval2"/>
      <sheetName val="[SHOPLIST_xls][SH2"/>
      <sheetName val="[SHOPLIST_xls]70_2"/>
      <sheetName val="Master_data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omp_equip1"/>
      <sheetName val="Basic_Rate1"/>
      <sheetName val="MASTER_RATE_ANALYSIS1"/>
      <sheetName val="MAIN_SUMMARY1"/>
      <sheetName val="[SHOPLIST_xls]/VWVU))tÏØ0__78"/>
      <sheetName val="[SHOPLIST_xls]/VWVU))tÏØ0__79"/>
      <sheetName val="B2-DV_No_021"/>
      <sheetName val="Other_Cost_Norms1"/>
      <sheetName val="개시대사_(2)1"/>
      <sheetName val="TB_ALJADA1"/>
      <sheetName val="Plot_Area1"/>
      <sheetName val="Closing_entries1"/>
      <sheetName val="Executive_Summary1"/>
      <sheetName val="Sales_Tracking_Report_(STR)1"/>
      <sheetName val="Blocking_Tracking_Report_(BTR)1"/>
      <sheetName val="Bill_No_11"/>
      <sheetName val="GENERAL_SUMMARY1"/>
      <sheetName val="SITE_WORKS1"/>
      <sheetName val="WOOD_WORK1"/>
      <sheetName val="THERMAL_&amp;_MOISTURE_1"/>
      <sheetName val="DOORS_&amp;_WINDOWS1"/>
      <sheetName val="Additional_Items1"/>
      <sheetName val="L_(4)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Ref_Arch1"/>
      <sheetName val="6_2_Floor_Finishes1"/>
      <sheetName val="Data_1"/>
      <sheetName val="Cumulative_Rail_1"/>
      <sheetName val="[SHOPLIST_xls]/VWVU))tÏØ0__80"/>
      <sheetName val="Staff_OLD_1"/>
      <sheetName val="Account_Codes"/>
      <sheetName val="[SHOPLIST_xls]/VW"/>
      <sheetName val="_Estimate__"/>
      <sheetName val="Equip_"/>
      <sheetName val="Milestone"/>
      <sheetName val="Top_s๨ꫝ"/>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D_&amp;_W_sizes10"/>
      <sheetName val="SOPMA_DD10"/>
      <sheetName val="Finansal_tamamlanma_Eğrisi4"/>
      <sheetName val="BOQ_(2)4"/>
      <sheetName val="LABOUR_RATE4"/>
      <sheetName val="Material_Rate4"/>
      <sheetName val="Labor_abs-PW4"/>
      <sheetName val="Labor_abs-NMR4"/>
      <sheetName val="kppl_pl4"/>
      <sheetName val="Basic_Rates4"/>
      <sheetName val="Combined_Results_4"/>
      <sheetName val="Labour_Rate_10"/>
      <sheetName val="[SHOPLIST_xls]70,/0s«_iÆø_í¬_13"/>
      <sheetName val="[SHOPLIST_xls]70?,/0?s«i?Æøí¬13"/>
      <sheetName val="Data_I_(2)10"/>
      <sheetName val="rEFERENCES_10"/>
      <sheetName val="Qtys_ZamZam_(Del__before)10"/>
      <sheetName val="Qtys_Relocation_(Del_before)10"/>
      <sheetName val="_Qtys_Sub_&amp;_Tents_(Del__befor10"/>
      <sheetName val="Qtys__Signages_(Del__before)10"/>
      <sheetName val="Qtys_Temporary_Passages_(Del)10"/>
      <sheetName val="_Qtys_Ser__Rooms_(Del_before)10"/>
      <sheetName val="Div_07_Thermal_&amp;_Moisture4"/>
      <sheetName val="Data_Validation4"/>
      <sheetName val="Div26_-_Elect4"/>
      <sheetName val="CHUNG_CU_CARRILON4"/>
      <sheetName val="precast_RC_element4"/>
      <sheetName val="pile_Fabrication4"/>
      <sheetName val="New_Bld4"/>
      <sheetName val="[SHOPLIST_xls]/VWVU))tÏØ0__8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P1926-H2B_Pkg_2A&amp;2B2"/>
      <sheetName val="P1940-H2B_Pkg_1_Guestrooms2"/>
      <sheetName val="BOQ_1_922"/>
      <sheetName val="Abs_PMRL2"/>
      <sheetName val="[SHOPLIST_xls]/VWVU))tÏØ0__88"/>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Contractor_Application1"/>
      <sheetName val="08_MEP_Summary1"/>
      <sheetName val="Addnl_works1"/>
      <sheetName val="B3__Material_on_Site-Detail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SHOPLIST_xls]70,/0s«iÆøí¬2"/>
      <sheetName val="Portfolio_List1"/>
      <sheetName val="Initial_Data1"/>
      <sheetName val="Package_Status1"/>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_Estimate__1"/>
      <sheetName val="Equip_1"/>
      <sheetName val="Account_Codes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Closing"/>
      <sheetName val="[SHOPLIST_xls]70_x005f_x0000_,/0_x000"/>
      <sheetName val="SI_22"/>
      <sheetName val="TO_List"/>
      <sheetName val="CCTV_DATA"/>
      <sheetName val="_boaboard_(1)"/>
      <sheetName val="Gene��i0_"/>
      <sheetName val="70,/0s�i����i"/>
      <sheetName val="Top_shԀ"/>
      <sheetName val="Detail_Page"/>
      <sheetName val="Cost Heaࡤing"/>
      <sheetName val="Income Statement"/>
      <sheetName val="FAL_intern"/>
      <sheetName val="SI_221"/>
      <sheetName val="TO_List1"/>
      <sheetName val="CCTV_DATA1"/>
      <sheetName val="FAL_intern1"/>
      <sheetName val="SI_222"/>
      <sheetName val="TO_List2"/>
      <sheetName val="CCTV_DATA2"/>
      <sheetName val="FAL_intern2"/>
      <sheetName val="Kur"/>
      <sheetName val="HAKEDİŞ "/>
      <sheetName val="keşif özeti"/>
      <sheetName val="Katsayılar"/>
      <sheetName val="[SHOPLIST.xls]70,/0s«iÆøí¬i4"/>
      <sheetName val="[SHOPLIST.xls]70,/0s«iÆøí¬i5"/>
      <sheetName val="[SHOPLIST.xls]/VWVU))tÏØ0__21"/>
      <sheetName val="[SHOPLIST.xls]/VWVU))tÏØ0__20"/>
      <sheetName val="[SHOPLIST.xls]70,/0s�i����i"/>
      <sheetName val="[SHOPLIST.xls]/VWVU))tÏØ0__23"/>
      <sheetName val="[SHOPLIST.xls]/VWVU))tÏØ0__22"/>
      <sheetName val="[SHOPLIST.xls]70___0_s__i____14"/>
      <sheetName val="[SHOPLIST.xls]_VW__VU________10"/>
      <sheetName val="[SHOPLIST.xls]70___0_s__i____15"/>
      <sheetName val="[SHOPLIST.xls]70_x005f_x0000___0_x0_6"/>
      <sheetName val="[SHOPLIST.xls]70___0_s__i____16"/>
      <sheetName val="[SHOPLIST.xls]_VW__VU________11"/>
      <sheetName val="[SHOPLIST.xls]70___0_s__i____17"/>
      <sheetName val="[SHOPLIST.xls]_VW__VU________12"/>
      <sheetName val="[SHOPLIST.xls]70___0_s__i____18"/>
      <sheetName val="[SHOPLIST.xls]70_x005f_x0000___0_x0_7"/>
      <sheetName val="[SHOPLIST.xls]70___0_s__i____19"/>
      <sheetName val="[SHOPLIST.xls]_VW__VU________13"/>
      <sheetName val="[SHOPLIST.xls]_SHOPLIST_xls_464"/>
      <sheetName val="[SHOPLIST.xls]_SHOPLIST_xls_465"/>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70_x005f_x005f_x005f_x0000__5"/>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70___0_s__i____20"/>
      <sheetName val="[SHOPLIST.xls]_VW__VU________14"/>
      <sheetName val="[SHOPLIST.xls]70___0_s__i____21"/>
      <sheetName val="[SHOPLIST.xls]70_x005f_x0000___0_x0_8"/>
      <sheetName val="[SHOPLIST.xls]70___0_s__i____22"/>
      <sheetName val="[SHOPLIST.xls]_SHOPLIST_xls_583"/>
      <sheetName val="[SHOPLIST.xls]_VW__VU________15"/>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_SHOPLIST_xls_604"/>
      <sheetName val="[SHOPLIST.xls]_SHOPLIST_xls_605"/>
      <sheetName val="[SHOPLIST.xls]_SHOPLIST_xls_606"/>
      <sheetName val="[SHOPLIST.xls]_SHOPLIST_xls_607"/>
      <sheetName val="[SHOPLIST.xls]_SHOPLIST_xls_608"/>
      <sheetName val="[SHOPLIST.xls]_SHOPLIST_xls_609"/>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70_x005f_x005f_x005f_x0000__6"/>
      <sheetName val="Calendar"/>
      <sheetName val="Sheet9"/>
      <sheetName val="Materials Cost"/>
      <sheetName val="djfx"/>
      <sheetName val="FEVA"/>
      <sheetName val="HO Costs"/>
      <sheetName val="FLOOR_AND_CEILING"/>
      <sheetName val="area_comp_2011_01_18_(2)"/>
      <sheetName val="drop_down_lists"/>
      <sheetName val="PH_5"/>
      <sheetName val="[SHOPLIST_xls]70___0_s__i_____2"/>
      <sheetName val="[SHOPLIST_xls]_VW__VU_________2"/>
      <sheetName val="[SHOPLIST_xls]_VW__VU_________3"/>
      <sheetName val="[SHOPLIST_xls]70_x005f_x0000___0_x0_2"/>
      <sheetName val="beam-reinft"/>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70___0_s__i____23"/>
      <sheetName val="[SHOPLIST.xls]_VW__VU________16"/>
      <sheetName val="[SHOPLIST.xls]70___0_s__i____24"/>
      <sheetName val="[SHOPLIST.xls]70_x005f_x0000___0_x0_9"/>
      <sheetName val="[SHOPLIST.xls]70___0_s__i____25"/>
      <sheetName val="[SHOPLIST.xls]_SHOPLIST_xls_727"/>
      <sheetName val="[SHOPLIST.xls]_VW__VU________1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_SHOPLIST_xls_751"/>
      <sheetName val="[SHOPLIST.xls]_SHOPLIST_xls_752"/>
      <sheetName val="[SHOPLIST.xls]_SHOPLIST_xls_753"/>
      <sheetName val="[SHOPLIST.xls]_SHOPLIST_xls_754"/>
      <sheetName val="[SHOPLIST.xls]_SHOPLIST_xls_755"/>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SHOPLIST_xls]70___0_s__i_____3"/>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Product Sheet40"/>
      <sheetName val="HSBC"/>
      <sheetName val="REBAR"/>
      <sheetName val="Cost Summary"/>
      <sheetName val="Cost Summary SD"/>
      <sheetName val="Schedule S-Curve Revision#3"/>
      <sheetName val="2.223M_due to adj profit"/>
      <sheetName val="C-10"/>
      <sheetName val="C-11"/>
      <sheetName val="C-12"/>
      <sheetName val="C-3"/>
      <sheetName val="C-4"/>
      <sheetName val="C-5"/>
      <sheetName val="C-5A"/>
      <sheetName val="C-6"/>
      <sheetName val="C-6A"/>
      <sheetName val="C-7"/>
      <sheetName val="C-8"/>
      <sheetName val="C-9"/>
      <sheetName val="STAND98"/>
      <sheetName val="辽电初设.XLS 定额"/>
      <sheetName val="DVL"/>
      <sheetName val="[SHOPLIST_xls]70,/0s«_iÆø_í¬1"/>
      <sheetName val="[SHOPLIST_xls]70,/0s«iÆøí¬i21"/>
      <sheetName val="[SHOPLIST_xls]70,/0s«iÆøí¬i31"/>
      <sheetName val="[SHOPLIST_xls]70,/0s«_iÆø_í¬2"/>
      <sheetName val="[SHOPLIST_xls]70,/0s«iÆøí¬i22"/>
      <sheetName val="[SHOPLIST_xls]70,/0s«iÆøí¬i32"/>
      <sheetName val="[SHOPLIST_xls]70,/0s«i_x1"/>
      <sheetName val="foot-slab_rein_x0000__x0000_"/>
      <sheetName val="foot-slab_reinø_x0006_"/>
      <sheetName val="foot-slab_reinÝ¥"/>
      <sheetName val="foot-slab_reinP"/>
      <sheetName val="SUM-AIR-Submit"/>
      <sheetName val="Schedules PL"/>
      <sheetName val="Schedules BS"/>
      <sheetName val="Summary-margin calc"/>
      <sheetName val="S-Curve_Update"/>
      <sheetName val="VESSELS_"/>
      <sheetName val="bill no. 3"/>
      <sheetName val="_SHOPLIST.xls_70_x005f_x0000_,_0_x000"/>
      <sheetName val="Qty SR"/>
      <sheetName val="EW SR"/>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Unit cost- Drain-Protection-1 "/>
      <sheetName val="Unit cost- Drain-Protection-2"/>
      <sheetName val="[SHOPLIST.xls]70_x0000_,/0_x000"/>
      <sheetName val="B.Room W.Done Progress"/>
      <sheetName val="SUMMARY (ROOM)"/>
      <sheetName val="W.D Prgress Public area"/>
      <sheetName val="SUMMARY Public"/>
      <sheetName val="Comparision"/>
      <sheetName val="Cost Rates"/>
      <sheetName val="LOOKUP(MM)"/>
      <sheetName val="간접비내역-1"/>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HVAC"/>
      <sheetName val="HVAC-Qty"/>
      <sheetName val="RBD-AHU"/>
      <sheetName val="RBD ENG"/>
      <sheetName val="RBD-EX-RF-01"/>
      <sheetName val="RBD SLD.RLD"/>
      <sheetName val="RBD-VAV"/>
      <sheetName val="V.Summary"/>
      <sheetName val="Total PrC-Goldi"/>
      <sheetName val="วัดใต้"/>
      <sheetName val="B-2"/>
      <sheetName val="total"/>
      <sheetName val="Price List"/>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Total_PrC-Goldi"/>
      <sheetName val="Cost Factor Sheet"/>
      <sheetName val="Load Sch, Cable Sel &amp; Qty"/>
      <sheetName val="Factor Sheet"/>
      <sheetName val="Price Sheet"/>
      <sheetName val="基本ﾃﾞｰﾀ"/>
      <sheetName val="Schedules"/>
      <sheetName val="1A"/>
      <sheetName val="Room Type"/>
      <sheetName val="Basement2 DB"/>
      <sheetName val="inter"/>
      <sheetName val="1-Summary"/>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AN"/>
      <sheetName val="Beach Villas"/>
      <sheetName val="Overwater Villas"/>
      <sheetName val="Presidential Villa"/>
      <sheetName val="Démol_"/>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GRAPH_DATA"/>
      <sheetName val=" N Finansal Eğri"/>
      <sheetName val="MSH51C"/>
      <sheetName val="hiddenSheet"/>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Detail_Page1"/>
      <sheetName val="Non-Positioin Summary"/>
      <sheetName val="Mnhr Book Updated 11.10.2018"/>
      <sheetName val="プロジェクト概要"/>
      <sheetName val="foot-slab_rein"/>
      <sheetName val="STOCKWTG"/>
      <sheetName val="POLY"/>
      <sheetName val="Advance Recovery"/>
      <sheetName val="SC Cost FEB 03"/>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8_0_Programme"/>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Curve_Update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SHOPLIST_xls]70_x005f_x0000_,/0_x001"/>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Finansal_tamamlanma_Eğrisi6"/>
      <sheetName val="2_Plex6"/>
      <sheetName val="Sheet1_(2)6"/>
      <sheetName val="4_Plex6"/>
      <sheetName val="6_Plex_6"/>
      <sheetName val="Detailed_Summary6"/>
      <sheetName val="Sheet1_(3)6"/>
      <sheetName val="Sheet1_(4)6"/>
      <sheetName val="HB_CEC_schd_4_26"/>
      <sheetName val="HB_CEC_schd_4_36"/>
      <sheetName val="HB_CEC_schd_5_26"/>
      <sheetName val="HB_CEC_schd_6_26"/>
      <sheetName val="HB_CEC_schd_7_26"/>
      <sheetName val="HB_CEC_schd_9_26"/>
      <sheetName val="Doha_Farm6"/>
      <sheetName val="Dropdown_List6"/>
      <sheetName val="New_Bld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DVM Sizing Calculator- 10 ips "/>
      <sheetName val="BT3-Package 05"/>
      <sheetName val="BOQ-Civil"/>
      <sheetName val="[SHOPLIST.xls]_VW__VU________18"/>
      <sheetName val="[SHOPLIST.xls]_VW__VU________19"/>
      <sheetName val="[SHOPLIST.xls]70_x005f_x0000___0_x_10"/>
      <sheetName val="[SHOPLIST.xls]70___0_s__i____28"/>
      <sheetName val="[SHOPLIST.xls]70___0_s__i____29"/>
      <sheetName val="[SHOPLIST.xls][SHOPLIST_xls]/VW"/>
      <sheetName val="Index sheet"/>
      <sheetName val="BULD_3"/>
      <sheetName val="BLOCK_K"/>
      <sheetName val="제출내역_(2)"/>
      <sheetName val="satış planı (2)"/>
      <sheetName val="Tahsilat"/>
      <sheetName val="REQ_REMARKS"/>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SoW_Assess_Blank_Form"/>
      <sheetName val="VO_Breakdown"/>
      <sheetName val="Measurement_Sheet"/>
      <sheetName val="Schedule_of_Drawings"/>
      <sheetName val="SI_Schedule"/>
      <sheetName val="ContraCharge_Schedule"/>
      <sheetName val="[SHOPLIST_xls][SHOPLIST_xls]70?"/>
      <sheetName val="Spacing_of_Delineators"/>
      <sheetName val="SoW_Assess_Blank_Form1"/>
      <sheetName val="VO_Breakdown1"/>
      <sheetName val="Measurement_Sheet1"/>
      <sheetName val="Schedule_of_Drawings1"/>
      <sheetName val="SI_Schedule1"/>
      <sheetName val="ContraCharge_Schedule1"/>
      <sheetName val="VESSELS_1"/>
      <sheetName val="Mp-team 1"/>
      <sheetName val="Bill_3_Boutique"/>
      <sheetName val="Landscape_No_1"/>
      <sheetName val="MEP_No_3"/>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Item_List_OLD"/>
      <sheetName val="[SHOPLIST_xls]70___0_s__i_____4"/>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_SHOPLIST_xls_100"/>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Gene��i"/>
      <sheetName val="_Structural"/>
      <sheetName val="Travel_Cranes"/>
      <sheetName val="Recap_Travel_Crane"/>
      <sheetName val="Recap_Architect"/>
      <sheetName val="Recap_External"/>
      <sheetName val="Recap_Struct"/>
      <sheetName val="Package_1"/>
      <sheetName val="Recap_Lift"/>
      <sheetName val="P-Ins_&amp;_Bonds1"/>
      <sheetName val="PC_"/>
      <sheetName val="App_-_A_"/>
      <sheetName val="App-_B_"/>
      <sheetName val="App_-_C_"/>
      <sheetName val="App_-_D_"/>
      <sheetName val="App_-_E_"/>
      <sheetName val="App_-_F"/>
      <sheetName val="App_-_G_"/>
      <sheetName val="App_-_H"/>
      <sheetName val="Concrete_Breakdown"/>
      <sheetName val="Masonry_Breakdown"/>
      <sheetName val="[SHOPLIST_xls]/VW1"/>
      <sheetName val="[SHOPLIST_xls]70,/0s«iÆøí¬i110"/>
      <sheetName val="Bill_3_Boutique1"/>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SHOPLIST_xls]123"/>
      <sheetName val="[SHOPLIST_xls][SHOPLIST_xls]124"/>
      <sheetName val="[SHOPLIST_xls][SHOPLIST_xls]125"/>
      <sheetName val="[SHOPLIST_xls][SHOPLIST_xls]126"/>
      <sheetName val="[SHOPLIST_xls][SHOPLIST_xls]127"/>
      <sheetName val="[SHOPLIST_xls][SHOPLIST_xls]128"/>
      <sheetName val="[SHOPLIST_xls]70___0_s__i_____1"/>
      <sheetName val="[SHOPLIST_xls]_VW__VU_________1"/>
      <sheetName val="[SHOPLIST_xls]_VW__VU_________4"/>
      <sheetName val="Landscape_No_11"/>
      <sheetName val="MEP_No_31"/>
      <sheetName val="BULD_31"/>
      <sheetName val="BLOCK_K1"/>
      <sheetName val="_boaboard_(1)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Item_List_OLD1"/>
      <sheetName val="[SHOPLIST_xls]70___0_s__i_____5"/>
      <sheetName val="제출내역_(2)1"/>
      <sheetName val="[SHOPLIST_xls]70___0_s__i_____6"/>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129"/>
      <sheetName val="[SHOPLIST_xls][SHOPLIST_xls]130"/>
      <sheetName val="[SHOPLIST_xls][SHOPLIST_xls]131"/>
      <sheetName val="[SHOPLIST_xls][SHOPLIST_xls]757"/>
      <sheetName val="[SHOPLIST_xls][SHOPLIST_xls]132"/>
      <sheetName val="[SHOPLIST_xls][SHOPLIST_xls]133"/>
      <sheetName val="[SHOPLIST_xls][SHOPLIST_xls]134"/>
      <sheetName val="[SHOPLIST_xls][SHOPLIST_xls]135"/>
      <sheetName val="[SHOPLIST_xls][SHOPLIST_xls]136"/>
      <sheetName val="[SHOPLIST_xls][SHOPLIST_xls]137"/>
      <sheetName val="[SHOPLIST_xls][SHOPLIST_xls]138"/>
      <sheetName val="[SHOPLIST_xls][SHOPLIST_xls]139"/>
      <sheetName val="[SHOPLIST_xls][SHOPLIST_xls]140"/>
      <sheetName val="[SHOPLIST_xls][SHOPLIST_xls]141"/>
      <sheetName val="[SHOPLIST_xls][SHOPLIST_xls]142"/>
      <sheetName val="[SHOPLIST_xls][SHOPLIST_xls]143"/>
      <sheetName val="[SHOPLIST_xls][SHOPLIST_xls]144"/>
      <sheetName val="[SHOPLIST_xls][SHOPLIST_xls]145"/>
      <sheetName val="[SHOPLIST_xls][SHOPLIST_xls]146"/>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_SHOPLIST_xls_104"/>
      <sheetName val="[SHOPLIST_xls][SHOPLIST_xls]227"/>
      <sheetName val="[SHOPLIST_xls][SHOPLIST_xls]228"/>
      <sheetName val="[SHOPLIST_xls][SHOPLIST_xls]758"/>
      <sheetName val="[SHOPLIST_xls]/VWVU))2"/>
      <sheetName val="[SHOPLIST_xls]70_x005f_x005f_x005f_x0000__1"/>
      <sheetName val="[SHOPLIST_xls]_SHOPLIST_xls_105"/>
      <sheetName val="[SHOPLIST_xls]_SHOPLIST_xls_106"/>
      <sheetName val="[SHOPLIST_xls]_SHOPLIST_xls_107"/>
      <sheetName val="_Structural1"/>
      <sheetName val="Travel_Cranes1"/>
      <sheetName val="Recap_Travel_Crane1"/>
      <sheetName val="Recap_Architect1"/>
      <sheetName val="Recap_External1"/>
      <sheetName val="Recap_Struct1"/>
      <sheetName val="Package_11"/>
      <sheetName val="Recap_Lift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URA-C1"/>
      <sheetName val="Macro custom function"/>
      <sheetName val="Inventory "/>
      <sheetName val="Note"/>
      <sheetName val="JAN"/>
      <sheetName val="Tender Stage"/>
      <sheetName val="Delay Clasifications"/>
      <sheetName val="PA Milestones"/>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1 Summary"/>
      <sheetName val="co-no.2"/>
      <sheetName val="Lstsub"/>
      <sheetName val="Arch"/>
      <sheetName val="DB"/>
      <sheetName val="DIRLBR"/>
      <sheetName val="2.0 Cover Sum"/>
      <sheetName val="G29A"/>
      <sheetName val="PRO_DCI"/>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I_223"/>
      <sheetName val="TO_List3"/>
      <sheetName val="CCTV_DATA3"/>
      <sheetName val="FAL_intern3"/>
      <sheetName val="Fdata"/>
      <sheetName val="Drop_down2"/>
      <sheetName val="Joseph_Record3"/>
      <sheetName val="[SHOPLIST_xls]_VW__VU_________5"/>
      <sheetName val="[SHOPLIST_xls]70_x005f_x0000___0_x0_3"/>
      <sheetName val="[SHOPLIST_xls]70___0_s__i_____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Fee Rate Summary"/>
      <sheetName val="NPV"/>
      <sheetName val="P Staff fac"/>
      <sheetName val="foot-slab_reinø"/>
      <sheetName val="Internal"/>
      <sheetName val="Summary year Plan"/>
      <sheetName val="RateAnalysis"/>
      <sheetName val="maingirder"/>
      <sheetName val="basic-data"/>
      <sheetName val="Enquire"/>
      <sheetName val="ROY"/>
      <sheetName val="12"/>
      <sheetName val="BS "/>
      <sheetName val="Accounts"/>
      <sheetName val="footing for SP"/>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M-480"/>
      <sheetName val="M-519"/>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Income_Statement"/>
      <sheetName val="Data_Works"/>
      <sheetName val="Control_Panel"/>
      <sheetName val="Sheet"/>
      <sheetName val="14267"/>
      <sheetName val="shuttering"/>
      <sheetName val="CFS3"/>
      <sheetName val="Structured Cabling"/>
      <sheetName val="IS"/>
      <sheetName val="Configurations"/>
      <sheetName val="Technical"/>
      <sheetName val="BUR"/>
      <sheetName val="FSA"/>
      <sheetName val="Services_InitialEst_UtilityServ"/>
      <sheetName val="70_x005f_x0000_,/0_x005f_x0000_"/>
      <sheetName val="Currency Rate"/>
      <sheetName val="contents "/>
      <sheetName val="Div.8 - Opening"/>
      <sheetName val="Div .9- Finishes"/>
      <sheetName val="Total "/>
      <sheetName val="Projects Name"/>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abl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SHOPLIST_xls]70,/0_x000"/>
      <sheetName val="_SHOPLIST_xls_70_x005f_x0000_,_0_x000"/>
      <sheetName val="[SHOPLIST_xls]70___0_s__i____14"/>
      <sheetName val="[SHOPLIST_xls]_VW__VU________10"/>
      <sheetName val="[SHOPLIST_xls]_VW__VU________11"/>
      <sheetName val="[SHOPLIST_xls]70_x005f_x0000___0_x0_6"/>
      <sheetName val="[SHOPLIST_xls]70___0_s__i____15"/>
      <sheetName val="[SHOPLIST_xls]_SHOPLIST_xls_464"/>
      <sheetName val="[SHOPLIST_xls]_SHOPLIST_xls_465"/>
      <sheetName val="[SHOPLIST_xls]70___0_s__i____16"/>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_SHOPLIST_xls_583"/>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70_x005f_x005f_x005f_x0000__5"/>
      <sheetName val="[SHOPLIST_xls]_SHOPLIST_xls_604"/>
      <sheetName val="[SHOPLIST_xls]_SHOPLIST_xls_605"/>
      <sheetName val="[SHOPLIST_xls]_SHOPLIST_xls_606"/>
      <sheetName val="[SHOPLIST_xls]_SHOPLIST_xls_607"/>
      <sheetName val="[SHOPLIST_xls]_SHOPLIST_xls_608"/>
      <sheetName val="[SHOPLIST_xls]_SHOPLIST_xls_609"/>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Mnhr_Book_Updated_11_10_2018"/>
      <sheetName val="All BGL List"/>
      <sheetName val="Budget Config"/>
      <sheetName val="All Department List"/>
      <sheetName val="foot-slab_reinl"/>
      <sheetName val="Admin TAKE OFF"/>
      <sheetName val="Doi so"/>
      <sheetName val="F4-F7"/>
      <sheetName val="토공"/>
      <sheetName val="CỘT + VÁCH B2-B4"/>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x0000_,_0_"/>
      <sheetName val="70_x0000_,/0_x0000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_x0009__x0008_??_x0009_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_x0000_,/0_x0000_"/>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辽电初设_XLS_定额"/>
      <sheetName val="Msw-study"/>
      <sheetName val="BF2001"/>
      <sheetName val="شهادة الدفع"/>
      <sheetName val="Lucas1"/>
      <sheetName val="Lucas2"/>
      <sheetName val="Lucas4"/>
      <sheetName val="Lucas3"/>
      <sheetName val="Dropdown Lists"/>
      <sheetName val="Matl"/>
      <sheetName val="h-013211-2"/>
      <sheetName val="12. Ins &amp; Bonds"/>
      <sheetName val="3. Staff Facilities"/>
      <sheetName val="11. Clients Requirements"/>
      <sheetName val="Legal Risk Analysis"/>
      <sheetName val="Utility Summary"/>
      <sheetName val="Dropdown Attributes"/>
      <sheetName val="DCF_5"/>
      <sheetName val="US Ship Repair Industry Growth"/>
      <sheetName val="Market Overview"/>
      <sheetName val="US Shipyard Repair Output"/>
      <sheetName val="Charts"/>
      <sheetName val="LBO"/>
      <sheetName val="Summary Financials"/>
      <sheetName val="PLUMBING WORK ADDITIONS"/>
      <sheetName val="MPC"/>
      <sheetName val="[SHOPLIST_xls]70,/0s«_iÆø_í¬3"/>
      <sheetName val="[SHOPLIST_xls]70,/0s«iÆøí¬i23"/>
      <sheetName val="[SHOPLIST_xls]70,/0s«iÆøí¬i33"/>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Cost_Heaࡤing"/>
      <sheetName val="RBD_ENG"/>
      <sheetName val="RBD_SLD_RLD"/>
      <sheetName val="V_Summary"/>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70___0_s__i____20"/>
      <sheetName val="[SHOPLIST_xls]_VW__VU________15"/>
      <sheetName val="[SHOPLIST_xls]70___0_s__i____21"/>
      <sheetName val="[SHOPLIST_xls]70_x005f_x0000___0_x0_8"/>
      <sheetName val="[SHOPLIST_xls]70___0_s__i____22"/>
      <sheetName val="[SHOPLIST_xls]_VW__VU________16"/>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Bill_No__3"/>
      <sheetName val="Materials_Cost"/>
      <sheetName val="HO_Costs"/>
      <sheetName val="Rectangular_Duct"/>
      <sheetName val="[SHOPLIST_xls]70,/0s«iÆøí¬i41"/>
      <sheetName val="[SHOPLIST_xls]70,/0s«iÆøí¬i51"/>
      <sheetName val="Product_Sheet40"/>
      <sheetName val="Unit_cost-_Drain-Protection-1_"/>
      <sheetName val="Unit_cost-_Drain-Protection-2"/>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calcul"/>
      <sheetName val="eval"/>
      <sheetName val=" Est "/>
      <sheetName val="B100-Cable Rack"/>
      <sheetName val="4.1 G Ammount"/>
      <sheetName val="Costcal"/>
      <sheetName val="1-Excavation"/>
      <sheetName val="2-Substructure"/>
      <sheetName val="3-Concrete"/>
      <sheetName val="4-Masonry"/>
      <sheetName val="5-Thermal &amp; Moisture"/>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SHOPLIST_xls]70,/0s«iÆøí¬i24"/>
      <sheetName val="[SHOPLIST_xls]70___0_s__i____26"/>
      <sheetName val="[SHOPLIST_xls]70,/0s�i����i"/>
      <sheetName val="bkg"/>
      <sheetName val="cbrd460"/>
      <sheetName val="bcl"/>
      <sheetName val="Front Sheet"/>
      <sheetName val="Indirect Costs"/>
      <sheetName val="sc"/>
      <sheetName val="Attachment 1"/>
      <sheetName val="[SHOPLIST.xls]/VWVU))tÏØ0__61"/>
      <sheetName val="[SHOPLIST.xls]/VWVU))tÏØ0__71"/>
      <sheetName val="foot-slab_rein_x000c__x0002_"/>
      <sheetName val="PROGRAM"/>
      <sheetName val="Staffing Plan"/>
      <sheetName val="PASARELA"/>
      <sheetName val="DESCRIPTIONS"/>
      <sheetName val="2.2 STAFF Scedule"/>
      <sheetName val="Gra¦_x005f_x0004_)"/>
      <sheetName val="Geneí¬_x005f_x0008_i??_x005f_x0014_?0."/>
      <sheetName val="Geneí¬_x005f_x0008_i___x005f_x0014__0."/>
      <sheetName val="BoatTMP"/>
      <sheetName val="[SHOPLIST_xls]/VW3"/>
      <sheetName val="P-Ins_&amp;_Bonds4"/>
      <sheetName val="Admin_TAKE_OFF1"/>
      <sheetName val="Schedules_PL"/>
      <sheetName val="Schedules_BS"/>
      <sheetName val="Admin_TAKE_OFF"/>
      <sheetName val="[SHOPLIST_xls]/VW2"/>
      <sheetName val="P-Ins_&amp;_Bonds3"/>
      <sheetName val="Assmpns"/>
      <sheetName val="CRUDE-D"/>
      <sheetName val="POSTLPG"/>
      <sheetName val="S'PORE-D"/>
      <sheetName val="POSTF1"/>
      <sheetName val="POSTHD1"/>
      <sheetName val="PO97(02)"/>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69"/>
      <sheetName val="[SHOPLIST_xls][SHOPLIST_xls]770"/>
      <sheetName val="[SHOPLIST_xls][SHOPLIST_xls]771"/>
      <sheetName val="[SHOPLIST_xls][SHOPLIST_xls]772"/>
      <sheetName val="[SHOPLIST_xls][SHOPLIST_xls]773"/>
      <sheetName val="[SHOPLIST_xls][SHOPLIST_xls]239"/>
      <sheetName val="[SHOPLIST_xls][SHOPLIST_xls]774"/>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70,/0s«iÆøí¬i111"/>
      <sheetName val="[SHOPLIST_xls][SHOPLIST_xls]776"/>
      <sheetName val="[SHOPLIST_xls]/VWVU))3"/>
      <sheetName val="VESSELS_2"/>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70,/0s«iÆøí¬i25"/>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Drop_down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70,/0s«iÆøí¬i112"/>
      <sheetName val="[SHOPLIST_xls]70,/0s«_iÆø_í¬4"/>
      <sheetName val="[SHOPLIST_xls]70,/0s«iÆøí¬i26"/>
      <sheetName val="[SHOPLIST_xls]70,/0s«iÆøí¬i3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Spacing_of_Delineators2"/>
      <sheetName val="EATON_SUMMARY3"/>
      <sheetName val="Outline_Cost_-_Five_star_Hotel3"/>
      <sheetName val="Schedules_PL2"/>
      <sheetName val="Schedules_BS2"/>
      <sheetName val="Drop_Down_Data8"/>
      <sheetName val="Rules_8"/>
      <sheetName val="L3-WBS_Mapping8"/>
      <sheetName val="BAFO_CCL_Submission8"/>
      <sheetName val="Update_list8"/>
      <sheetName val="Sinh_Nam_systems8"/>
      <sheetName val="DIE_profile8"/>
      <sheetName val="Import_tax8"/>
      <sheetName val="[SHOPLIST_xls]70,/0s«iÆøí¬i27"/>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New_Bld8"/>
      <sheetName val="Finansal_tamamlanma_Eğrisi8"/>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Dropdown_List8"/>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HB_CEC_schd_4_28"/>
      <sheetName val="HB_CEC_schd_4_38"/>
      <sheetName val="HB_CEC_schd_5_28"/>
      <sheetName val="HB_CEC_schd_6_28"/>
      <sheetName val="HB_CEC_schd_7_28"/>
      <sheetName val="HB_CEC_schd_9_28"/>
      <sheetName val="Doha_Farm8"/>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SHOPLIST_xls]/VWVU))tÏØ0_189"/>
      <sheetName val="[SHOPLIST_xls]/VWVU))tÏØ0_190"/>
      <sheetName val="[SHOPLIST_xls]/VWVU))tÏØ0_191"/>
      <sheetName val="[SHOPLIST_xls]/VWVU))tÏØ0_192"/>
      <sheetName val="[SHOPLIST_xls]/VWVU))tÏØ0_193"/>
      <sheetName val="[SHOPLIST_xls]/VWVU))tÏØ0_19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_iÆø_í¬5"/>
      <sheetName val="[SHOPLIST_xls]70,/0s«iÆøí¬i28"/>
      <sheetName val="[SHOPLIST_xls]70,/0s«iÆøí¬i35"/>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SHOPLIST_xls]/VW18"/>
      <sheetName val="[SHOPLIST_xls]/VWVU))tÏØ0_195"/>
      <sheetName val="[SHOPLIST_xls]/VWVU))tÏØ0_196"/>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SHOPLIST_xls]/VWVU))tÏØ0_197"/>
      <sheetName val="[SHOPLIST_xls]/VWVU))tÏØ0_198"/>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SHOPLIST_xls]/VWVU))tÏØ0_199"/>
      <sheetName val="[SHOPLIST_xls]70,/0s«_iÆø_í¬_18"/>
      <sheetName val="[SHOPLIST_xls]70?,/0?s«i?Æøí¬18"/>
      <sheetName val="[SHOPLIST_xls]/VWVU))tÏØ0_200"/>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SHOPLIST_xls]/VWVU))tÏØ0_201"/>
      <sheetName val="[SHOPLIST_xls]/VWVU))tÏØ0_202"/>
      <sheetName val="[SHOPLIST_xls]/VWVU))tÏØ0_203"/>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SHOPLIST_xls]/VWVU))tÏØ0_204"/>
      <sheetName val="[SHOPLIST_xls]/VWVU))tÏØ0_205"/>
      <sheetName val="MAIN_SUMMARY7"/>
      <sheetName val="[SHOPLIST_xls][SHOPLIST_xls]/V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SHOPLIST_xls]/VWVU))tÏØ0_206"/>
      <sheetName val="[SHOPLIST_xls]/VWVU))tÏØ0_20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HOPLIST_xls]/VWVU))tÏØ0_208"/>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_boaboard_(1)2"/>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
      <sheetName val="[SHOPLIST.xls]70?,/0?s«i_x"/>
      <sheetName val="[SHOPLIST.xls]70,/0"/>
      <sheetName val="Structural BOQ"/>
      <sheetName val="Masonry &amp; Plaster"/>
      <sheetName val="DVM_Sizing_Calculator-_10_ips_"/>
      <sheetName val="Cost_Summary"/>
      <sheetName val="Cost_Summary_SD"/>
      <sheetName val="Schedule_S-Curve_Revision#3"/>
      <sheetName val="2_223M_due_to_adj_profit"/>
      <sheetName val="Свод_(Бюджет)"/>
      <sheetName val="Свод_(понедельно)"/>
      <sheetName val="Статьи_расходов"/>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SHOPLIST_xls]70,/0s«iÆøí¬i61"/>
      <sheetName val="[SHOPLIST_xls]70,/0s«iÆøí¬i71"/>
      <sheetName val="[SHOPLIST_xls]/VW21"/>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footing_for_SP"/>
      <sheetName val="_SHOPLIST_xls__SH1"/>
      <sheetName val="_SHOPLIST_xls_70_1"/>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Slide 6 - Returns &amp; NWC"/>
      <sheetName val="FAL_intern5"/>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Tender_Stage1"/>
      <sheetName val="Delay_Clasifications1"/>
      <sheetName val="PA_Milestones1"/>
      <sheetName val="AOR"/>
      <sheetName val="SGOLD FEB"/>
      <sheetName val="VC2 8.98"/>
      <sheetName val="PE-F-42 Rev 01 Manpower"/>
      <sheetName val="IPL_SCHEDULE"/>
      <sheetName val="HAKEDİŞ_"/>
      <sheetName val="keşif_özeti"/>
      <sheetName val="Advance_Recovery"/>
      <sheetName val="SC_Cost_FEB_03"/>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margin_calc"/>
      <sheetName val="Qty_SR"/>
      <sheetName val="EW_SR"/>
      <sheetName val="Cost_Rates"/>
      <sheetName val="Summary_year_Plan"/>
      <sheetName val="BS_"/>
      <sheetName val="Geneí¬_x005f_x0008_i??_x005f_x0014_?0_"/>
      <sheetName val="Geneí¬_x005f_x0008_i___x005f_x0014__0_"/>
      <sheetName val="Doi_so2"/>
      <sheetName val="CỘT_+_VÁCH_B2-B42"/>
      <sheetName val="Du_thau2"/>
      <sheetName val="Door_&amp;_Window-_Schedule2"/>
      <sheetName val="Buy_vs__Lease_Car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Nhan_cong2"/>
      <sheetName val="Liệt_kê2"/>
      <sheetName val="MTO_REV_2_ARMOR_2"/>
      <sheetName val="Vat_tu_XD2"/>
      <sheetName val="Ｎｏ_132"/>
      <sheetName val="Budget_Code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A__Electrical1"/>
      <sheetName val="Priced_BOQ1"/>
      <sheetName val="_SHOPLIST_xls_70,_0s«iÆøí¬2"/>
      <sheetName val="VO-Curtain_Wall1"/>
      <sheetName val="Bar_Sched1"/>
      <sheetName val="TH_thiet_bi1"/>
      <sheetName val="TH_vat_tu1"/>
      <sheetName val="TH_may_TC1"/>
      <sheetName val="Bang_phan_tich1"/>
      <sheetName val="DM_Chi_phi1"/>
      <sheetName val="vanchuyen_TC"/>
      <sheetName val="Bill_1_Prelim"/>
      <sheetName val="Bill_2_Bored_Pile"/>
      <sheetName val="_SHOPLIST_xls_70?,_0_x0001"/>
      <sheetName val="Geneí¬_i??_?0_1"/>
      <sheetName val="70?,/0?s«_i?Æø_í¬_i?1"/>
      <sheetName val="[SHOPLIST_xls]70?,/0?s«_i?Æø_í1"/>
      <sheetName val="[SHOPLIST_xls]/VW?VU?)???)??1"/>
      <sheetName val="TK_T2"/>
      <sheetName val="T2_CAMERA"/>
      <sheetName val="T2_LOA"/>
      <sheetName val="T2_TRUNKING"/>
      <sheetName val="T2_MANG"/>
      <sheetName val="[SHOPLIST_xls]70,/0"/>
      <sheetName val="/VW?VU?)???)??????tÏØ0_??_1"/>
      <sheetName val="Bill_of_Qty_MEP"/>
      <sheetName val="Goc_CC"/>
      <sheetName val="Room_Type"/>
      <sheetName val="Basement2_DB"/>
      <sheetName val="_SHOPLIST_xls__VWVU))tÏØ0_101"/>
      <sheetName val="_SHOPLIST_xls__VWVU))tÏØ0_102"/>
      <sheetName val="_SHOPLIST_xls__VWVU))tÏØ0_103"/>
      <sheetName val="2_0_Cover_Sum"/>
      <sheetName val="Macro_custom_function"/>
      <sheetName val="_N_Finansal_Eğri"/>
      <sheetName val="EST"/>
      <sheetName val="Income_Statement1"/>
      <sheetName val="BT3-Package_05"/>
      <sheetName val="Cost_Any."/>
      <sheetName val="CAUSTIC"/>
      <sheetName val="pri-com"/>
      <sheetName val="Detail In Door Stad"/>
      <sheetName val="8. Cover"/>
      <sheetName val="GEN-TEC-02"/>
      <sheetName val="EPI Directo"/>
      <sheetName val="INSTRUCTIVO"/>
      <sheetName val="0-Datos de la Obra"/>
      <sheetName val="Gastos Generales"/>
      <sheetName val="1.1. Manpower(Data Ref)"/>
      <sheetName val="Total  Amount"/>
      <sheetName val="PMP"/>
      <sheetName val="_x005f_x005f_x005f_x0000__x005f_x005f_x005f_x0000__x005"/>
      <sheetName val="Gra¦_x005f_x0004_)_x005f_x0000__x005f_x0000__x0"/>
      <sheetName val="_VW_x005f_x0000_VU_x005f_x0000_)_x005f_x0000__x"/>
      <sheetName val="Geneí¬_x005f_x005f_x005f_x0008_i_x00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09. DATABASE"/>
      <sheetName val="Chi tiet gia DT"/>
      <sheetName val="Gia DT bo Sung"/>
      <sheetName val="PT gia DT"/>
      <sheetName val="Phan tich vat tu"/>
      <sheetName val="PTgia DT BS"/>
      <sheetName val="FP-Labour_M"/>
      <sheetName val="GTNC"/>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Hot-Piping"/>
      <sheetName val="TT DZ35"/>
      <sheetName val="물량표"/>
      <sheetName val="TONGKE-HT"/>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3"/>
      <sheetName val="[SHOPLIST.xls]_SHOPLIST_xl_1431"/>
      <sheetName val="[SHOPLIST.xls]_SHOPLIST_xl_143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434"/>
      <sheetName val="[SHOPLIST.xls]_SHOPLIST_xl_1435"/>
      <sheetName val="[SHOPLIST.xls]_SHOPLIST_xl_1829"/>
      <sheetName val="[SHOPLIST.xls]_SHOPLIST_xl_1830"/>
      <sheetName val="[SHOPLIST.xls]_SHOPLIST_xl_1831"/>
      <sheetName val="[SHOPLIST.xls]_SHOPLIST_xl_1436"/>
      <sheetName val="[SHOPLIST.xls]_SHOPLIST_xl_1437"/>
      <sheetName val="[SHOPLIST.xls]_SHOPLIST_xl_1438"/>
      <sheetName val="[SHOPLIST.xls]_SHOPLIST_xl_1832"/>
      <sheetName val="[SHOPLIST.xls]_SHOPLIST_xl_1439"/>
      <sheetName val="[SHOPLIST.xls]_SHOPLIST_xl_1833"/>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834"/>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835"/>
      <sheetName val="[SHOPLIST.xls]_SHOPLIST_xl_1452"/>
      <sheetName val="[SHOPLIST.xls]_SHOPLIST_xl_1836"/>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37"/>
      <sheetName val="[SHOPLIST.xls]_SHOPLIST_xl_1463"/>
      <sheetName val="[SHOPLIST.xls]_SHOPLIST_xl_1464"/>
      <sheetName val="[SHOPLIST.xls]_SHOPLIST_xl_1465"/>
      <sheetName val="[SHOPLIST.xls]_SHOPLIST_xl_1466"/>
      <sheetName val="[SHOPLIST.xls]_SHOPLIST_xl_1467"/>
      <sheetName val="[SHOPLIST.xls]_SHOPLIST_xl_1838"/>
      <sheetName val="[SHOPLIST.xls]_SHOPLIST_xl_1468"/>
      <sheetName val="[SHOPLIST.xls]_SHOPLIST_xl_1469"/>
      <sheetName val="[SHOPLIST.xls]_SHOPLIST_xl_183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840"/>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841"/>
      <sheetName val="[SHOPLIST.xls]_SHOPLIST_xl_1842"/>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843"/>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844"/>
      <sheetName val="[SHOPLIST.xls]_SHOPLIST_xl_1845"/>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846"/>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847"/>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848"/>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849"/>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850"/>
      <sheetName val="[SHOPLIST.xls]_SHOPLIST_xl_1851"/>
      <sheetName val="[SHOPLIST.xls]_SHOPLIST_xl_1852"/>
      <sheetName val="[SHOPLIST.xls]_SHOPLIST_xl_1853"/>
      <sheetName val="[SHOPLIST.xls]_SHOPLIST_xl_1854"/>
      <sheetName val="[SHOPLIST.xls]_SHOPLIST_xl_1560"/>
      <sheetName val="[SHOPLIST.xls]_SHOPLIST_xl_1561"/>
      <sheetName val="[SHOPLIST.xls]_SHOPLIST_xl_1562"/>
      <sheetName val="[SHOPLIST.xls]_SHOPLIST_xl_1563"/>
      <sheetName val="[SHOPLIST.xls]_SHOPLIST_xl_1564"/>
      <sheetName val="[SHOPLIST.xls]_SHOPLIST_xl_1855"/>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856"/>
      <sheetName val="[SHOPLIST.xls]_SHOPLIST_xl_1857"/>
      <sheetName val="[SHOPLIST.xls]_SHOPLIST_xl_1858"/>
      <sheetName val="[SHOPLIST.xls]_SHOPLIST_xl_1579"/>
      <sheetName val="[SHOPLIST.xls]_SHOPLIST_xl_1580"/>
      <sheetName val="[SHOPLIST.xls]_SHOPLIST_xl_1859"/>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860"/>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861"/>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862"/>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656"/>
      <sheetName val="[SHOPLIST.xls]_SHOPLIST_xl_1935"/>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1. Scenario Manager"/>
      <sheetName val="Joseph_Record4"/>
      <sheetName val="_boaboard_(1)3"/>
      <sheetName val="#3E1_GCR"/>
      <sheetName val="BOQ LT"/>
      <sheetName val="BP"/>
      <sheetName val="Abstract-2"/>
      <sheetName val="Shor &amp; Shuter"/>
      <sheetName val="nVision"/>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VenCF"/>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ConferenceCentre______________2"/>
      <sheetName val="ProjInfo"/>
      <sheetName val="Rate (2)"/>
      <sheetName val="CERT.NO 1"/>
      <sheetName val="org"/>
      <sheetName val="Bill 2K"/>
      <sheetName val="1) COMMON FACILITIES"/>
      <sheetName val="Bldg Brkdown"/>
      <sheetName val="参数"/>
      <sheetName val="D.5 Bid statement"/>
      <sheetName val="计算表"/>
      <sheetName val="03定额库"/>
      <sheetName val="94定额库"/>
      <sheetName val="清单库"/>
      <sheetName val="工程量汇总表"/>
      <sheetName val="D.MAKAN"/>
      <sheetName val="Superstruc"/>
      <sheetName val="Data Input-A"/>
      <sheetName val="Sum cost"/>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SUM(D2)"/>
      <sheetName val="Workdone_MFI"/>
      <sheetName val="BIF"/>
      <sheetName val="Flr.Fin"/>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2.0 Section 2 Cover"/>
      <sheetName val="DGG"/>
      <sheetName val="골조시행"/>
      <sheetName val="실행철강하도"/>
      <sheetName val="KỲ TT"/>
      <sheetName val="Joinery works"/>
      <sheetName val="Geneí¬_x005f_x005f_x005f_x005f_x005f_x005f_x005f_x005f_"/>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DGchitiet "/>
      <sheetName val="Inter unit set off"/>
      <sheetName val="Consolidated"/>
      <sheetName val="JOB COSTING SHEET HVAC"/>
      <sheetName val="SUBCON OR OTHER"/>
      <sheetName val="CASH"/>
      <sheetName val="SSuppliers"/>
      <sheetName val="Section(0)Preliminaries"/>
      <sheetName val="Section(1)Demolition"/>
      <sheetName val="Section(2)Exca "/>
      <sheetName val="Back"/>
      <sheetName val="jobhist"/>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sheetData sheetId="257"/>
      <sheetData sheetId="258"/>
      <sheetData sheetId="259"/>
      <sheetData sheetId="260"/>
      <sheetData sheetId="261"/>
      <sheetData sheetId="262"/>
      <sheetData sheetId="263"/>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refreshError="1"/>
      <sheetData sheetId="353" refreshError="1"/>
      <sheetData sheetId="354" refreshError="1"/>
      <sheetData sheetId="355" refreshError="1"/>
      <sheetData sheetId="356" refreshError="1"/>
      <sheetData sheetId="357" refreshError="1"/>
      <sheetData sheetId="358"/>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refreshError="1"/>
      <sheetData sheetId="422"/>
      <sheetData sheetId="423" refreshError="1"/>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refreshError="1"/>
      <sheetData sheetId="516" refreshError="1"/>
      <sheetData sheetId="517"/>
      <sheetData sheetId="518"/>
      <sheetData sheetId="519" refreshError="1"/>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refreshError="1"/>
      <sheetData sheetId="538" refreshError="1"/>
      <sheetData sheetId="539" refreshError="1"/>
      <sheetData sheetId="540"/>
      <sheetData sheetId="541"/>
      <sheetData sheetId="542"/>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refreshError="1"/>
      <sheetData sheetId="756" refreshError="1"/>
      <sheetData sheetId="757" refreshError="1"/>
      <sheetData sheetId="758" refreshError="1"/>
      <sheetData sheetId="759" refreshError="1"/>
      <sheetData sheetId="760"/>
      <sheetData sheetId="761"/>
      <sheetData sheetId="762"/>
      <sheetData sheetId="763"/>
      <sheetData sheetId="764"/>
      <sheetData sheetId="765" refreshError="1"/>
      <sheetData sheetId="766" refreshError="1"/>
      <sheetData sheetId="767" refreshError="1"/>
      <sheetData sheetId="768" refreshError="1"/>
      <sheetData sheetId="769" refreshError="1"/>
      <sheetData sheetId="770" refreshError="1"/>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refreshError="1"/>
      <sheetData sheetId="801" refreshError="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sheetData sheetId="830"/>
      <sheetData sheetId="831"/>
      <sheetData sheetId="832"/>
      <sheetData sheetId="833" refreshError="1"/>
      <sheetData sheetId="834" refreshError="1"/>
      <sheetData sheetId="835" refreshError="1"/>
      <sheetData sheetId="836" refreshError="1"/>
      <sheetData sheetId="837" refreshError="1"/>
      <sheetData sheetId="838" refreshError="1"/>
      <sheetData sheetId="839" refreshError="1"/>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refreshError="1"/>
      <sheetData sheetId="904"/>
      <sheetData sheetId="905"/>
      <sheetData sheetId="906"/>
      <sheetData sheetId="907"/>
      <sheetData sheetId="908"/>
      <sheetData sheetId="909"/>
      <sheetData sheetId="910"/>
      <sheetData sheetId="911"/>
      <sheetData sheetId="912" refreshError="1"/>
      <sheetData sheetId="913" refreshError="1"/>
      <sheetData sheetId="914" refreshError="1"/>
      <sheetData sheetId="915" refreshError="1"/>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refreshError="1"/>
      <sheetData sheetId="939" refreshError="1"/>
      <sheetData sheetId="940" refreshError="1"/>
      <sheetData sheetId="941" refreshError="1"/>
      <sheetData sheetId="942" refreshError="1"/>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sheetData sheetId="1066"/>
      <sheetData sheetId="1067" refreshError="1"/>
      <sheetData sheetId="1068" refreshError="1"/>
      <sheetData sheetId="1069" refreshError="1"/>
      <sheetData sheetId="1070" refreshError="1"/>
      <sheetData sheetId="1071" refreshError="1"/>
      <sheetData sheetId="1072"/>
      <sheetData sheetId="1073"/>
      <sheetData sheetId="1074"/>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sheetData sheetId="1085"/>
      <sheetData sheetId="1086"/>
      <sheetData sheetId="1087"/>
      <sheetData sheetId="1088"/>
      <sheetData sheetId="1089" refreshError="1"/>
      <sheetData sheetId="1090" refreshError="1"/>
      <sheetData sheetId="1091" refreshError="1"/>
      <sheetData sheetId="1092" refreshError="1"/>
      <sheetData sheetId="1093" refreshError="1"/>
      <sheetData sheetId="1094" refreshError="1"/>
      <sheetData sheetId="1095" refreshError="1"/>
      <sheetData sheetId="1096"/>
      <sheetData sheetId="1097" refreshError="1"/>
      <sheetData sheetId="1098" refreshError="1"/>
      <sheetData sheetId="1099" refreshError="1"/>
      <sheetData sheetId="1100" refreshError="1"/>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refreshError="1"/>
      <sheetData sheetId="1129"/>
      <sheetData sheetId="1130"/>
      <sheetData sheetId="1131" refreshError="1"/>
      <sheetData sheetId="1132" refreshError="1"/>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refreshError="1"/>
      <sheetData sheetId="1305" refreshError="1"/>
      <sheetData sheetId="1306" refreshError="1"/>
      <sheetData sheetId="1307" refreshError="1"/>
      <sheetData sheetId="1308" refreshError="1"/>
      <sheetData sheetId="1309"/>
      <sheetData sheetId="1310"/>
      <sheetData sheetId="1311"/>
      <sheetData sheetId="1312"/>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sheetData sheetId="1345"/>
      <sheetData sheetId="1346"/>
      <sheetData sheetId="1347"/>
      <sheetData sheetId="1348"/>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sheetData sheetId="1359"/>
      <sheetData sheetId="1360" refreshError="1"/>
      <sheetData sheetId="1361" refreshError="1"/>
      <sheetData sheetId="1362" refreshError="1"/>
      <sheetData sheetId="1363" refreshError="1"/>
      <sheetData sheetId="1364" refreshError="1"/>
      <sheetData sheetId="1365" refreshError="1"/>
      <sheetData sheetId="1366"/>
      <sheetData sheetId="1367"/>
      <sheetData sheetId="1368"/>
      <sheetData sheetId="1369" refreshError="1"/>
      <sheetData sheetId="1370" refreshError="1"/>
      <sheetData sheetId="1371" refreshError="1"/>
      <sheetData sheetId="1372" refreshError="1"/>
      <sheetData sheetId="1373" refreshError="1"/>
      <sheetData sheetId="1374" refreshError="1"/>
      <sheetData sheetId="1375"/>
      <sheetData sheetId="1376"/>
      <sheetData sheetId="1377"/>
      <sheetData sheetId="1378" refreshError="1"/>
      <sheetData sheetId="1379"/>
      <sheetData sheetId="1380"/>
      <sheetData sheetId="1381"/>
      <sheetData sheetId="1382" refreshError="1"/>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refreshError="1"/>
      <sheetData sheetId="1709" refreshError="1"/>
      <sheetData sheetId="1710" refreshError="1"/>
      <sheetData sheetId="1711" refreshError="1"/>
      <sheetData sheetId="1712" refreshError="1"/>
      <sheetData sheetId="1713" refreshError="1"/>
      <sheetData sheetId="1714"/>
      <sheetData sheetId="1715"/>
      <sheetData sheetId="1716"/>
      <sheetData sheetId="1717"/>
      <sheetData sheetId="1718"/>
      <sheetData sheetId="1719"/>
      <sheetData sheetId="1720"/>
      <sheetData sheetId="1721" refreshError="1"/>
      <sheetData sheetId="1722"/>
      <sheetData sheetId="1723"/>
      <sheetData sheetId="1724"/>
      <sheetData sheetId="1725" refreshError="1"/>
      <sheetData sheetId="1726" refreshError="1"/>
      <sheetData sheetId="1727" refreshError="1"/>
      <sheetData sheetId="1728" refreshError="1"/>
      <sheetData sheetId="1729" refreshError="1"/>
      <sheetData sheetId="1730" refreshError="1"/>
      <sheetData sheetId="1731" refreshError="1"/>
      <sheetData sheetId="1732"/>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sheetData sheetId="1742" refreshError="1"/>
      <sheetData sheetId="1743" refreshError="1"/>
      <sheetData sheetId="1744" refreshError="1"/>
      <sheetData sheetId="1745" refreshError="1"/>
      <sheetData sheetId="1746"/>
      <sheetData sheetId="1747" refreshError="1"/>
      <sheetData sheetId="1748" refreshError="1"/>
      <sheetData sheetId="1749" refreshError="1"/>
      <sheetData sheetId="1750" refreshError="1"/>
      <sheetData sheetId="1751" refreshError="1"/>
      <sheetData sheetId="1752"/>
      <sheetData sheetId="1753" refreshError="1"/>
      <sheetData sheetId="1754" refreshError="1"/>
      <sheetData sheetId="1755"/>
      <sheetData sheetId="1756"/>
      <sheetData sheetId="1757"/>
      <sheetData sheetId="1758" refreshError="1"/>
      <sheetData sheetId="1759" refreshError="1"/>
      <sheetData sheetId="1760" refreshError="1"/>
      <sheetData sheetId="1761" refreshError="1"/>
      <sheetData sheetId="1762"/>
      <sheetData sheetId="1763"/>
      <sheetData sheetId="1764" refreshError="1"/>
      <sheetData sheetId="1765"/>
      <sheetData sheetId="1766"/>
      <sheetData sheetId="1767"/>
      <sheetData sheetId="1768"/>
      <sheetData sheetId="1769"/>
      <sheetData sheetId="1770"/>
      <sheetData sheetId="1771"/>
      <sheetData sheetId="1772"/>
      <sheetData sheetId="1773"/>
      <sheetData sheetId="1774"/>
      <sheetData sheetId="1775" refreshError="1"/>
      <sheetData sheetId="1776"/>
      <sheetData sheetId="1777"/>
      <sheetData sheetId="1778" refreshError="1"/>
      <sheetData sheetId="1779" refreshError="1"/>
      <sheetData sheetId="1780"/>
      <sheetData sheetId="1781"/>
      <sheetData sheetId="1782"/>
      <sheetData sheetId="1783" refreshError="1"/>
      <sheetData sheetId="1784" refreshError="1"/>
      <sheetData sheetId="1785" refreshError="1"/>
      <sheetData sheetId="1786" refreshError="1"/>
      <sheetData sheetId="1787" refreshError="1"/>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refreshError="1"/>
      <sheetData sheetId="2069" refreshError="1"/>
      <sheetData sheetId="2070" refreshError="1"/>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refreshError="1"/>
      <sheetData sheetId="2333" refreshError="1"/>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refreshError="1"/>
      <sheetData sheetId="2618" refreshError="1"/>
      <sheetData sheetId="2619" refreshError="1"/>
      <sheetData sheetId="2620" refreshError="1"/>
      <sheetData sheetId="2621" refreshError="1"/>
      <sheetData sheetId="2622" refreshError="1"/>
      <sheetData sheetId="2623" refreshError="1"/>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refreshError="1"/>
      <sheetData sheetId="2896"/>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sheetData sheetId="2921"/>
      <sheetData sheetId="2922" refreshError="1"/>
      <sheetData sheetId="2923" refreshError="1"/>
      <sheetData sheetId="2924" refreshError="1"/>
      <sheetData sheetId="2925" refreshError="1"/>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refreshError="1"/>
      <sheetData sheetId="3207" refreshError="1"/>
      <sheetData sheetId="3208"/>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sheetData sheetId="3222"/>
      <sheetData sheetId="3223" refreshError="1"/>
      <sheetData sheetId="3224" refreshError="1"/>
      <sheetData sheetId="3225"/>
      <sheetData sheetId="3226"/>
      <sheetData sheetId="3227"/>
      <sheetData sheetId="3228"/>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sheetData sheetId="3252"/>
      <sheetData sheetId="3253"/>
      <sheetData sheetId="3254"/>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sheetData sheetId="3302"/>
      <sheetData sheetId="3303"/>
      <sheetData sheetId="3304"/>
      <sheetData sheetId="3305"/>
      <sheetData sheetId="3306" refreshError="1"/>
      <sheetData sheetId="3307" refreshError="1"/>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refreshError="1"/>
      <sheetData sheetId="4326" refreshError="1"/>
      <sheetData sheetId="4327" refreshError="1"/>
      <sheetData sheetId="4328" refreshError="1"/>
      <sheetData sheetId="4329" refreshError="1"/>
      <sheetData sheetId="4330" refreshError="1"/>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sheetData sheetId="4457"/>
      <sheetData sheetId="4458"/>
      <sheetData sheetId="4459" refreshError="1"/>
      <sheetData sheetId="4460" refreshError="1"/>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refreshError="1"/>
      <sheetData sheetId="4745"/>
      <sheetData sheetId="4746" refreshError="1"/>
      <sheetData sheetId="4747" refreshError="1"/>
      <sheetData sheetId="4748"/>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refreshError="1"/>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sheetData sheetId="5210"/>
      <sheetData sheetId="5211"/>
      <sheetData sheetId="5212"/>
      <sheetData sheetId="5213"/>
      <sheetData sheetId="5214"/>
      <sheetData sheetId="5215"/>
      <sheetData sheetId="5216"/>
      <sheetData sheetId="5217"/>
      <sheetData sheetId="5218"/>
      <sheetData sheetId="5219"/>
      <sheetData sheetId="5220"/>
      <sheetData sheetId="5221"/>
      <sheetData sheetId="5222"/>
      <sheetData sheetId="5223"/>
      <sheetData sheetId="5224"/>
      <sheetData sheetId="5225"/>
      <sheetData sheetId="5226"/>
      <sheetData sheetId="5227"/>
      <sheetData sheetId="5228"/>
      <sheetData sheetId="5229"/>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sheetData sheetId="5316"/>
      <sheetData sheetId="5317"/>
      <sheetData sheetId="5318"/>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sheetData sheetId="5614"/>
      <sheetData sheetId="5615"/>
      <sheetData sheetId="5616"/>
      <sheetData sheetId="5617"/>
      <sheetData sheetId="5618"/>
      <sheetData sheetId="5619"/>
      <sheetData sheetId="5620"/>
      <sheetData sheetId="5621"/>
      <sheetData sheetId="5622"/>
      <sheetData sheetId="5623"/>
      <sheetData sheetId="5624"/>
      <sheetData sheetId="5625"/>
      <sheetData sheetId="5626"/>
      <sheetData sheetId="5627"/>
      <sheetData sheetId="5628"/>
      <sheetData sheetId="5629"/>
      <sheetData sheetId="5630"/>
      <sheetData sheetId="5631"/>
      <sheetData sheetId="5632"/>
      <sheetData sheetId="5633"/>
      <sheetData sheetId="5634"/>
      <sheetData sheetId="5635"/>
      <sheetData sheetId="5636"/>
      <sheetData sheetId="5637"/>
      <sheetData sheetId="5638"/>
      <sheetData sheetId="5639"/>
      <sheetData sheetId="5640"/>
      <sheetData sheetId="5641"/>
      <sheetData sheetId="5642"/>
      <sheetData sheetId="5643"/>
      <sheetData sheetId="5644"/>
      <sheetData sheetId="5645"/>
      <sheetData sheetId="5646"/>
      <sheetData sheetId="5647"/>
      <sheetData sheetId="5648"/>
      <sheetData sheetId="5649"/>
      <sheetData sheetId="5650"/>
      <sheetData sheetId="5651"/>
      <sheetData sheetId="5652"/>
      <sheetData sheetId="5653"/>
      <sheetData sheetId="5654"/>
      <sheetData sheetId="5655"/>
      <sheetData sheetId="5656"/>
      <sheetData sheetId="5657"/>
      <sheetData sheetId="5658"/>
      <sheetData sheetId="5659"/>
      <sheetData sheetId="5660"/>
      <sheetData sheetId="5661"/>
      <sheetData sheetId="5662"/>
      <sheetData sheetId="5663"/>
      <sheetData sheetId="5664"/>
      <sheetData sheetId="5665"/>
      <sheetData sheetId="5666"/>
      <sheetData sheetId="5667"/>
      <sheetData sheetId="5668"/>
      <sheetData sheetId="5669"/>
      <sheetData sheetId="5670"/>
      <sheetData sheetId="5671"/>
      <sheetData sheetId="5672"/>
      <sheetData sheetId="5673"/>
      <sheetData sheetId="5674"/>
      <sheetData sheetId="5675"/>
      <sheetData sheetId="5676"/>
      <sheetData sheetId="5677"/>
      <sheetData sheetId="5678"/>
      <sheetData sheetId="5679"/>
      <sheetData sheetId="5680"/>
      <sheetData sheetId="5681"/>
      <sheetData sheetId="5682"/>
      <sheetData sheetId="5683"/>
      <sheetData sheetId="5684"/>
      <sheetData sheetId="5685"/>
      <sheetData sheetId="5686"/>
      <sheetData sheetId="5687"/>
      <sheetData sheetId="5688"/>
      <sheetData sheetId="5689"/>
      <sheetData sheetId="5690"/>
      <sheetData sheetId="5691"/>
      <sheetData sheetId="5692"/>
      <sheetData sheetId="5693"/>
      <sheetData sheetId="5694"/>
      <sheetData sheetId="5695"/>
      <sheetData sheetId="5696"/>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sheetData sheetId="6093"/>
      <sheetData sheetId="6094"/>
      <sheetData sheetId="6095"/>
      <sheetData sheetId="6096"/>
      <sheetData sheetId="6097"/>
      <sheetData sheetId="6098"/>
      <sheetData sheetId="6099"/>
      <sheetData sheetId="6100"/>
      <sheetData sheetId="6101"/>
      <sheetData sheetId="6102"/>
      <sheetData sheetId="6103"/>
      <sheetData sheetId="6104"/>
      <sheetData sheetId="6105"/>
      <sheetData sheetId="6106"/>
      <sheetData sheetId="6107"/>
      <sheetData sheetId="6108"/>
      <sheetData sheetId="6109"/>
      <sheetData sheetId="6110"/>
      <sheetData sheetId="6111"/>
      <sheetData sheetId="6112"/>
      <sheetData sheetId="6113"/>
      <sheetData sheetId="6114"/>
      <sheetData sheetId="6115"/>
      <sheetData sheetId="6116"/>
      <sheetData sheetId="6117"/>
      <sheetData sheetId="6118"/>
      <sheetData sheetId="6119"/>
      <sheetData sheetId="6120"/>
      <sheetData sheetId="6121"/>
      <sheetData sheetId="6122"/>
      <sheetData sheetId="6123"/>
      <sheetData sheetId="6124"/>
      <sheetData sheetId="6125"/>
      <sheetData sheetId="6126"/>
      <sheetData sheetId="6127"/>
      <sheetData sheetId="6128"/>
      <sheetData sheetId="6129"/>
      <sheetData sheetId="6130"/>
      <sheetData sheetId="6131"/>
      <sheetData sheetId="6132"/>
      <sheetData sheetId="6133"/>
      <sheetData sheetId="6134"/>
      <sheetData sheetId="6135"/>
      <sheetData sheetId="6136"/>
      <sheetData sheetId="6137"/>
      <sheetData sheetId="6138"/>
      <sheetData sheetId="6139"/>
      <sheetData sheetId="6140"/>
      <sheetData sheetId="6141"/>
      <sheetData sheetId="6142"/>
      <sheetData sheetId="6143"/>
      <sheetData sheetId="6144"/>
      <sheetData sheetId="6145"/>
      <sheetData sheetId="6146"/>
      <sheetData sheetId="6147"/>
      <sheetData sheetId="6148"/>
      <sheetData sheetId="6149"/>
      <sheetData sheetId="6150"/>
      <sheetData sheetId="6151"/>
      <sheetData sheetId="6152"/>
      <sheetData sheetId="6153"/>
      <sheetData sheetId="6154"/>
      <sheetData sheetId="6155"/>
      <sheetData sheetId="6156"/>
      <sheetData sheetId="6157"/>
      <sheetData sheetId="6158"/>
      <sheetData sheetId="6159"/>
      <sheetData sheetId="6160"/>
      <sheetData sheetId="6161"/>
      <sheetData sheetId="6162"/>
      <sheetData sheetId="6163"/>
      <sheetData sheetId="6164"/>
      <sheetData sheetId="6165"/>
      <sheetData sheetId="6166"/>
      <sheetData sheetId="6167"/>
      <sheetData sheetId="6168"/>
      <sheetData sheetId="6169"/>
      <sheetData sheetId="6170"/>
      <sheetData sheetId="6171"/>
      <sheetData sheetId="6172"/>
      <sheetData sheetId="6173"/>
      <sheetData sheetId="6174"/>
      <sheetData sheetId="6175"/>
      <sheetData sheetId="6176"/>
      <sheetData sheetId="6177"/>
      <sheetData sheetId="6178"/>
      <sheetData sheetId="6179"/>
      <sheetData sheetId="6180"/>
      <sheetData sheetId="6181"/>
      <sheetData sheetId="6182"/>
      <sheetData sheetId="6183"/>
      <sheetData sheetId="6184"/>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sheetData sheetId="6207"/>
      <sheetData sheetId="6208"/>
      <sheetData sheetId="6209"/>
      <sheetData sheetId="6210"/>
      <sheetData sheetId="6211"/>
      <sheetData sheetId="6212"/>
      <sheetData sheetId="6213"/>
      <sheetData sheetId="6214"/>
      <sheetData sheetId="6215"/>
      <sheetData sheetId="6216"/>
      <sheetData sheetId="6217"/>
      <sheetData sheetId="6218"/>
      <sheetData sheetId="6219"/>
      <sheetData sheetId="6220"/>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sheetData sheetId="6273"/>
      <sheetData sheetId="6274"/>
      <sheetData sheetId="6275"/>
      <sheetData sheetId="6276"/>
      <sheetData sheetId="6277"/>
      <sheetData sheetId="6278"/>
      <sheetData sheetId="6279"/>
      <sheetData sheetId="6280"/>
      <sheetData sheetId="6281"/>
      <sheetData sheetId="6282"/>
      <sheetData sheetId="6283"/>
      <sheetData sheetId="6284"/>
      <sheetData sheetId="6285"/>
      <sheetData sheetId="6286"/>
      <sheetData sheetId="6287"/>
      <sheetData sheetId="6288"/>
      <sheetData sheetId="6289"/>
      <sheetData sheetId="6290"/>
      <sheetData sheetId="6291"/>
      <sheetData sheetId="6292"/>
      <sheetData sheetId="6293"/>
      <sheetData sheetId="6294"/>
      <sheetData sheetId="6295"/>
      <sheetData sheetId="6296"/>
      <sheetData sheetId="6297"/>
      <sheetData sheetId="6298"/>
      <sheetData sheetId="6299"/>
      <sheetData sheetId="6300"/>
      <sheetData sheetId="6301"/>
      <sheetData sheetId="6302"/>
      <sheetData sheetId="6303"/>
      <sheetData sheetId="6304"/>
      <sheetData sheetId="6305"/>
      <sheetData sheetId="6306"/>
      <sheetData sheetId="6307"/>
      <sheetData sheetId="6308"/>
      <sheetData sheetId="6309"/>
      <sheetData sheetId="6310"/>
      <sheetData sheetId="6311"/>
      <sheetData sheetId="6312"/>
      <sheetData sheetId="6313"/>
      <sheetData sheetId="6314"/>
      <sheetData sheetId="6315"/>
      <sheetData sheetId="6316"/>
      <sheetData sheetId="6317"/>
      <sheetData sheetId="6318"/>
      <sheetData sheetId="6319"/>
      <sheetData sheetId="6320"/>
      <sheetData sheetId="6321"/>
      <sheetData sheetId="6322"/>
      <sheetData sheetId="6323"/>
      <sheetData sheetId="6324"/>
      <sheetData sheetId="6325"/>
      <sheetData sheetId="6326"/>
      <sheetData sheetId="6327"/>
      <sheetData sheetId="6328"/>
      <sheetData sheetId="6329"/>
      <sheetData sheetId="6330"/>
      <sheetData sheetId="6331"/>
      <sheetData sheetId="6332"/>
      <sheetData sheetId="6333"/>
      <sheetData sheetId="6334"/>
      <sheetData sheetId="6335"/>
      <sheetData sheetId="6336"/>
      <sheetData sheetId="6337"/>
      <sheetData sheetId="6338"/>
      <sheetData sheetId="6339"/>
      <sheetData sheetId="6340"/>
      <sheetData sheetId="6341"/>
      <sheetData sheetId="6342"/>
      <sheetData sheetId="6343"/>
      <sheetData sheetId="6344"/>
      <sheetData sheetId="6345"/>
      <sheetData sheetId="6346"/>
      <sheetData sheetId="6347"/>
      <sheetData sheetId="6348"/>
      <sheetData sheetId="6349"/>
      <sheetData sheetId="6350"/>
      <sheetData sheetId="6351"/>
      <sheetData sheetId="6352"/>
      <sheetData sheetId="6353"/>
      <sheetData sheetId="6354"/>
      <sheetData sheetId="6355"/>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sheetData sheetId="6369"/>
      <sheetData sheetId="6370"/>
      <sheetData sheetId="6371"/>
      <sheetData sheetId="6372"/>
      <sheetData sheetId="6373"/>
      <sheetData sheetId="6374"/>
      <sheetData sheetId="6375"/>
      <sheetData sheetId="6376"/>
      <sheetData sheetId="6377"/>
      <sheetData sheetId="6378"/>
      <sheetData sheetId="6379"/>
      <sheetData sheetId="6380"/>
      <sheetData sheetId="6381"/>
      <sheetData sheetId="6382"/>
      <sheetData sheetId="6383"/>
      <sheetData sheetId="6384"/>
      <sheetData sheetId="6385"/>
      <sheetData sheetId="6386"/>
      <sheetData sheetId="6387"/>
      <sheetData sheetId="6388"/>
      <sheetData sheetId="6389"/>
      <sheetData sheetId="6390"/>
      <sheetData sheetId="6391"/>
      <sheetData sheetId="6392"/>
      <sheetData sheetId="6393"/>
      <sheetData sheetId="6394"/>
      <sheetData sheetId="6395"/>
      <sheetData sheetId="6396"/>
      <sheetData sheetId="6397"/>
      <sheetData sheetId="6398"/>
      <sheetData sheetId="6399"/>
      <sheetData sheetId="6400"/>
      <sheetData sheetId="6401"/>
      <sheetData sheetId="6402"/>
      <sheetData sheetId="6403"/>
      <sheetData sheetId="6404"/>
      <sheetData sheetId="6405"/>
      <sheetData sheetId="6406"/>
      <sheetData sheetId="6407"/>
      <sheetData sheetId="6408"/>
      <sheetData sheetId="6409"/>
      <sheetData sheetId="6410"/>
      <sheetData sheetId="6411"/>
      <sheetData sheetId="6412"/>
      <sheetData sheetId="6413"/>
      <sheetData sheetId="6414"/>
      <sheetData sheetId="6415"/>
      <sheetData sheetId="6416"/>
      <sheetData sheetId="6417"/>
      <sheetData sheetId="6418"/>
      <sheetData sheetId="6419"/>
      <sheetData sheetId="6420"/>
      <sheetData sheetId="6421"/>
      <sheetData sheetId="6422"/>
      <sheetData sheetId="6423"/>
      <sheetData sheetId="6424"/>
      <sheetData sheetId="6425"/>
      <sheetData sheetId="6426"/>
      <sheetData sheetId="6427"/>
      <sheetData sheetId="6428"/>
      <sheetData sheetId="6429"/>
      <sheetData sheetId="6430"/>
      <sheetData sheetId="6431"/>
      <sheetData sheetId="6432"/>
      <sheetData sheetId="6433"/>
      <sheetData sheetId="6434"/>
      <sheetData sheetId="6435"/>
      <sheetData sheetId="6436"/>
      <sheetData sheetId="6437"/>
      <sheetData sheetId="6438"/>
      <sheetData sheetId="6439"/>
      <sheetData sheetId="6440"/>
      <sheetData sheetId="6441"/>
      <sheetData sheetId="6442"/>
      <sheetData sheetId="6443"/>
      <sheetData sheetId="6444"/>
      <sheetData sheetId="6445"/>
      <sheetData sheetId="6446"/>
      <sheetData sheetId="6447"/>
      <sheetData sheetId="6448"/>
      <sheetData sheetId="6449"/>
      <sheetData sheetId="6450"/>
      <sheetData sheetId="6451"/>
      <sheetData sheetId="6452"/>
      <sheetData sheetId="6453"/>
      <sheetData sheetId="6454"/>
      <sheetData sheetId="6455"/>
      <sheetData sheetId="6456"/>
      <sheetData sheetId="6457"/>
      <sheetData sheetId="6458"/>
      <sheetData sheetId="6459"/>
      <sheetData sheetId="6460"/>
      <sheetData sheetId="6461"/>
      <sheetData sheetId="6462"/>
      <sheetData sheetId="6463"/>
      <sheetData sheetId="6464"/>
      <sheetData sheetId="6465"/>
      <sheetData sheetId="6466"/>
      <sheetData sheetId="6467"/>
      <sheetData sheetId="6468"/>
      <sheetData sheetId="6469"/>
      <sheetData sheetId="6470"/>
      <sheetData sheetId="6471"/>
      <sheetData sheetId="6472"/>
      <sheetData sheetId="6473"/>
      <sheetData sheetId="6474"/>
      <sheetData sheetId="6475"/>
      <sheetData sheetId="6476"/>
      <sheetData sheetId="6477"/>
      <sheetData sheetId="6478"/>
      <sheetData sheetId="6479"/>
      <sheetData sheetId="6480"/>
      <sheetData sheetId="6481"/>
      <sheetData sheetId="6482"/>
      <sheetData sheetId="6483"/>
      <sheetData sheetId="6484"/>
      <sheetData sheetId="6485"/>
      <sheetData sheetId="6486"/>
      <sheetData sheetId="6487"/>
      <sheetData sheetId="6488"/>
      <sheetData sheetId="6489"/>
      <sheetData sheetId="6490"/>
      <sheetData sheetId="6491"/>
      <sheetData sheetId="6492"/>
      <sheetData sheetId="6493"/>
      <sheetData sheetId="6494"/>
      <sheetData sheetId="6495"/>
      <sheetData sheetId="6496"/>
      <sheetData sheetId="6497"/>
      <sheetData sheetId="6498"/>
      <sheetData sheetId="6499"/>
      <sheetData sheetId="6500"/>
      <sheetData sheetId="6501"/>
      <sheetData sheetId="6502"/>
      <sheetData sheetId="6503"/>
      <sheetData sheetId="6504"/>
      <sheetData sheetId="6505"/>
      <sheetData sheetId="6506"/>
      <sheetData sheetId="6507"/>
      <sheetData sheetId="6508"/>
      <sheetData sheetId="6509"/>
      <sheetData sheetId="6510"/>
      <sheetData sheetId="6511"/>
      <sheetData sheetId="6512"/>
      <sheetData sheetId="6513"/>
      <sheetData sheetId="6514"/>
      <sheetData sheetId="6515"/>
      <sheetData sheetId="6516"/>
      <sheetData sheetId="6517"/>
      <sheetData sheetId="6518"/>
      <sheetData sheetId="6519"/>
      <sheetData sheetId="6520"/>
      <sheetData sheetId="6521"/>
      <sheetData sheetId="6522"/>
      <sheetData sheetId="6523"/>
      <sheetData sheetId="6524"/>
      <sheetData sheetId="6525"/>
      <sheetData sheetId="6526"/>
      <sheetData sheetId="6527"/>
      <sheetData sheetId="6528"/>
      <sheetData sheetId="6529"/>
      <sheetData sheetId="6530"/>
      <sheetData sheetId="6531"/>
      <sheetData sheetId="6532"/>
      <sheetData sheetId="6533"/>
      <sheetData sheetId="6534"/>
      <sheetData sheetId="6535"/>
      <sheetData sheetId="6536"/>
      <sheetData sheetId="6537"/>
      <sheetData sheetId="6538"/>
      <sheetData sheetId="6539"/>
      <sheetData sheetId="6540"/>
      <sheetData sheetId="6541"/>
      <sheetData sheetId="6542"/>
      <sheetData sheetId="6543"/>
      <sheetData sheetId="6544"/>
      <sheetData sheetId="6545"/>
      <sheetData sheetId="6546"/>
      <sheetData sheetId="6547"/>
      <sheetData sheetId="6548"/>
      <sheetData sheetId="6549"/>
      <sheetData sheetId="6550"/>
      <sheetData sheetId="6551"/>
      <sheetData sheetId="6552"/>
      <sheetData sheetId="6553"/>
      <sheetData sheetId="6554"/>
      <sheetData sheetId="6555"/>
      <sheetData sheetId="6556"/>
      <sheetData sheetId="6557"/>
      <sheetData sheetId="6558"/>
      <sheetData sheetId="6559"/>
      <sheetData sheetId="6560"/>
      <sheetData sheetId="6561"/>
      <sheetData sheetId="6562"/>
      <sheetData sheetId="6563"/>
      <sheetData sheetId="6564"/>
      <sheetData sheetId="6565"/>
      <sheetData sheetId="6566"/>
      <sheetData sheetId="6567"/>
      <sheetData sheetId="6568"/>
      <sheetData sheetId="6569"/>
      <sheetData sheetId="6570"/>
      <sheetData sheetId="6571"/>
      <sheetData sheetId="6572"/>
      <sheetData sheetId="6573"/>
      <sheetData sheetId="6574"/>
      <sheetData sheetId="6575"/>
      <sheetData sheetId="6576"/>
      <sheetData sheetId="6577"/>
      <sheetData sheetId="6578"/>
      <sheetData sheetId="6579"/>
      <sheetData sheetId="6580"/>
      <sheetData sheetId="6581"/>
      <sheetData sheetId="6582"/>
      <sheetData sheetId="6583"/>
      <sheetData sheetId="6584"/>
      <sheetData sheetId="6585"/>
      <sheetData sheetId="6586"/>
      <sheetData sheetId="6587"/>
      <sheetData sheetId="6588"/>
      <sheetData sheetId="6589"/>
      <sheetData sheetId="6590"/>
      <sheetData sheetId="6591"/>
      <sheetData sheetId="6592"/>
      <sheetData sheetId="6593"/>
      <sheetData sheetId="6594"/>
      <sheetData sheetId="6595"/>
      <sheetData sheetId="6596"/>
      <sheetData sheetId="6597"/>
      <sheetData sheetId="6598"/>
      <sheetData sheetId="6599"/>
      <sheetData sheetId="6600"/>
      <sheetData sheetId="6601"/>
      <sheetData sheetId="6602"/>
      <sheetData sheetId="6603"/>
      <sheetData sheetId="6604"/>
      <sheetData sheetId="6605"/>
      <sheetData sheetId="6606"/>
      <sheetData sheetId="6607"/>
      <sheetData sheetId="6608"/>
      <sheetData sheetId="6609"/>
      <sheetData sheetId="6610"/>
      <sheetData sheetId="6611"/>
      <sheetData sheetId="6612"/>
      <sheetData sheetId="6613"/>
      <sheetData sheetId="6614"/>
      <sheetData sheetId="6615"/>
      <sheetData sheetId="6616"/>
      <sheetData sheetId="6617"/>
      <sheetData sheetId="6618"/>
      <sheetData sheetId="6619"/>
      <sheetData sheetId="6620"/>
      <sheetData sheetId="6621"/>
      <sheetData sheetId="6622"/>
      <sheetData sheetId="6623"/>
      <sheetData sheetId="6624"/>
      <sheetData sheetId="6625"/>
      <sheetData sheetId="6626"/>
      <sheetData sheetId="6627"/>
      <sheetData sheetId="6628"/>
      <sheetData sheetId="6629"/>
      <sheetData sheetId="6630"/>
      <sheetData sheetId="6631"/>
      <sheetData sheetId="6632"/>
      <sheetData sheetId="6633"/>
      <sheetData sheetId="6634"/>
      <sheetData sheetId="6635"/>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sheetData sheetId="7015"/>
      <sheetData sheetId="7016"/>
      <sheetData sheetId="7017"/>
      <sheetData sheetId="7018"/>
      <sheetData sheetId="7019"/>
      <sheetData sheetId="7020"/>
      <sheetData sheetId="7021"/>
      <sheetData sheetId="7022"/>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sheetData sheetId="7421" refreshError="1"/>
      <sheetData sheetId="7422"/>
      <sheetData sheetId="7423" refreshError="1"/>
      <sheetData sheetId="7424"/>
      <sheetData sheetId="7425"/>
      <sheetData sheetId="7426"/>
      <sheetData sheetId="7427"/>
      <sheetData sheetId="7428"/>
      <sheetData sheetId="7429"/>
      <sheetData sheetId="7430"/>
      <sheetData sheetId="7431" refreshError="1"/>
      <sheetData sheetId="7432" refreshError="1"/>
      <sheetData sheetId="7433" refreshError="1"/>
      <sheetData sheetId="7434"/>
      <sheetData sheetId="7435"/>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sheetData sheetId="7454"/>
      <sheetData sheetId="7455"/>
      <sheetData sheetId="7456"/>
      <sheetData sheetId="7457"/>
      <sheetData sheetId="7458" refreshError="1"/>
      <sheetData sheetId="7459" refreshError="1"/>
      <sheetData sheetId="7460" refreshError="1"/>
      <sheetData sheetId="7461" refreshError="1"/>
      <sheetData sheetId="7462" refreshError="1"/>
      <sheetData sheetId="7463" refreshError="1"/>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refreshError="1"/>
      <sheetData sheetId="7503"/>
      <sheetData sheetId="7504"/>
      <sheetData sheetId="7505"/>
      <sheetData sheetId="7506"/>
      <sheetData sheetId="7507"/>
      <sheetData sheetId="7508"/>
      <sheetData sheetId="7509"/>
      <sheetData sheetId="7510"/>
      <sheetData sheetId="7511"/>
      <sheetData sheetId="7512"/>
      <sheetData sheetId="7513" refreshError="1"/>
      <sheetData sheetId="7514" refreshError="1"/>
      <sheetData sheetId="7515" refreshError="1"/>
      <sheetData sheetId="7516"/>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sheetData sheetId="7576"/>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refreshError="1"/>
      <sheetData sheetId="7626" refreshError="1"/>
      <sheetData sheetId="7627" refreshError="1"/>
      <sheetData sheetId="7628" refreshError="1"/>
      <sheetData sheetId="7629" refreshError="1"/>
      <sheetData sheetId="7630" refreshError="1"/>
      <sheetData sheetId="7631"/>
      <sheetData sheetId="7632"/>
      <sheetData sheetId="7633"/>
      <sheetData sheetId="7634" refreshError="1"/>
      <sheetData sheetId="7635" refreshError="1"/>
      <sheetData sheetId="7636" refreshError="1"/>
      <sheetData sheetId="7637" refreshError="1"/>
      <sheetData sheetId="7638" refreshError="1"/>
      <sheetData sheetId="7639" refreshError="1"/>
      <sheetData sheetId="7640"/>
      <sheetData sheetId="7641" refreshError="1"/>
      <sheetData sheetId="7642" refreshError="1"/>
      <sheetData sheetId="7643" refreshError="1"/>
      <sheetData sheetId="7644" refreshError="1"/>
      <sheetData sheetId="7645"/>
      <sheetData sheetId="7646"/>
      <sheetData sheetId="7647" refreshError="1"/>
      <sheetData sheetId="7648" refreshError="1"/>
      <sheetData sheetId="7649"/>
      <sheetData sheetId="7650"/>
      <sheetData sheetId="7651"/>
      <sheetData sheetId="7652"/>
      <sheetData sheetId="7653" refreshError="1"/>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refreshError="1"/>
      <sheetData sheetId="7670"/>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sheetData sheetId="7701"/>
      <sheetData sheetId="7702"/>
      <sheetData sheetId="7703"/>
      <sheetData sheetId="7704" refreshError="1"/>
      <sheetData sheetId="7705" refreshError="1"/>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refreshError="1"/>
      <sheetData sheetId="7736"/>
      <sheetData sheetId="7737" refreshError="1"/>
      <sheetData sheetId="7738" refreshError="1"/>
      <sheetData sheetId="7739" refreshError="1"/>
      <sheetData sheetId="7740" refreshError="1"/>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refreshError="1"/>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refreshError="1"/>
      <sheetData sheetId="7859"/>
      <sheetData sheetId="7860"/>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refreshError="1"/>
      <sheetData sheetId="7916" refreshError="1"/>
      <sheetData sheetId="7917" refreshError="1"/>
      <sheetData sheetId="7918" refreshError="1"/>
      <sheetData sheetId="7919" refreshError="1"/>
      <sheetData sheetId="7920"/>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sheetData sheetId="7940"/>
      <sheetData sheetId="7941"/>
      <sheetData sheetId="7942"/>
      <sheetData sheetId="7943"/>
      <sheetData sheetId="7944"/>
      <sheetData sheetId="7945"/>
      <sheetData sheetId="7946"/>
      <sheetData sheetId="7947"/>
      <sheetData sheetId="7948" refreshError="1"/>
      <sheetData sheetId="7949" refreshError="1"/>
      <sheetData sheetId="7950"/>
      <sheetData sheetId="7951"/>
      <sheetData sheetId="7952"/>
      <sheetData sheetId="7953"/>
      <sheetData sheetId="7954"/>
      <sheetData sheetId="7955"/>
      <sheetData sheetId="7956"/>
      <sheetData sheetId="7957"/>
      <sheetData sheetId="7958"/>
      <sheetData sheetId="7959"/>
      <sheetData sheetId="7960"/>
      <sheetData sheetId="7961" refreshError="1"/>
      <sheetData sheetId="7962" refreshError="1"/>
      <sheetData sheetId="7963"/>
      <sheetData sheetId="7964" refreshError="1"/>
      <sheetData sheetId="7965" refreshError="1"/>
      <sheetData sheetId="7966" refreshError="1"/>
      <sheetData sheetId="7967" refreshError="1"/>
      <sheetData sheetId="7968"/>
      <sheetData sheetId="7969" refreshError="1"/>
      <sheetData sheetId="7970"/>
      <sheetData sheetId="7971"/>
      <sheetData sheetId="7972" refreshError="1"/>
      <sheetData sheetId="7973" refreshError="1"/>
      <sheetData sheetId="7974" refreshError="1"/>
      <sheetData sheetId="7975" refreshError="1"/>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refreshError="1"/>
      <sheetData sheetId="8341"/>
      <sheetData sheetId="8342"/>
      <sheetData sheetId="8343"/>
      <sheetData sheetId="8344"/>
      <sheetData sheetId="8345"/>
      <sheetData sheetId="8346"/>
      <sheetData sheetId="8347"/>
      <sheetData sheetId="8348"/>
      <sheetData sheetId="8349"/>
      <sheetData sheetId="8350"/>
      <sheetData sheetId="8351"/>
      <sheetData sheetId="8352" refreshError="1"/>
      <sheetData sheetId="8353" refreshError="1"/>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refreshError="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refreshError="1"/>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sheetData sheetId="8544"/>
      <sheetData sheetId="8545"/>
      <sheetData sheetId="8546"/>
      <sheetData sheetId="8547"/>
      <sheetData sheetId="8548"/>
      <sheetData sheetId="8549"/>
      <sheetData sheetId="8550"/>
      <sheetData sheetId="8551"/>
      <sheetData sheetId="8552"/>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sheetData sheetId="8572"/>
      <sheetData sheetId="8573" refreshError="1"/>
      <sheetData sheetId="8574" refreshError="1"/>
      <sheetData sheetId="8575" refreshError="1"/>
      <sheetData sheetId="8576" refreshError="1"/>
      <sheetData sheetId="8577" refreshError="1"/>
      <sheetData sheetId="8578" refreshError="1"/>
      <sheetData sheetId="8579" refreshError="1"/>
      <sheetData sheetId="8580"/>
      <sheetData sheetId="8581"/>
      <sheetData sheetId="8582"/>
      <sheetData sheetId="8583"/>
      <sheetData sheetId="8584" refreshError="1"/>
      <sheetData sheetId="8585" refreshError="1"/>
      <sheetData sheetId="8586" refreshError="1"/>
      <sheetData sheetId="8587" refreshError="1"/>
      <sheetData sheetId="8588"/>
      <sheetData sheetId="8589"/>
      <sheetData sheetId="8590"/>
      <sheetData sheetId="8591"/>
      <sheetData sheetId="8592"/>
      <sheetData sheetId="8593"/>
      <sheetData sheetId="8594"/>
      <sheetData sheetId="8595"/>
      <sheetData sheetId="8596"/>
      <sheetData sheetId="8597"/>
      <sheetData sheetId="8598" refreshError="1"/>
      <sheetData sheetId="8599" refreshError="1"/>
      <sheetData sheetId="8600" refreshError="1"/>
      <sheetData sheetId="8601" refreshError="1"/>
      <sheetData sheetId="8602" refreshError="1"/>
      <sheetData sheetId="8603" refreshError="1"/>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sheetData sheetId="8657"/>
      <sheetData sheetId="8658"/>
      <sheetData sheetId="8659"/>
      <sheetData sheetId="8660"/>
      <sheetData sheetId="8661"/>
      <sheetData sheetId="8662"/>
      <sheetData sheetId="8663"/>
      <sheetData sheetId="8664"/>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sheetData sheetId="8749" refreshError="1"/>
      <sheetData sheetId="8750" refreshError="1"/>
      <sheetData sheetId="8751" refreshError="1"/>
      <sheetData sheetId="8752" refreshError="1"/>
      <sheetData sheetId="8753"/>
      <sheetData sheetId="8754"/>
      <sheetData sheetId="8755" refreshError="1"/>
      <sheetData sheetId="8756" refreshError="1"/>
      <sheetData sheetId="8757" refreshError="1"/>
      <sheetData sheetId="8758" refreshError="1"/>
      <sheetData sheetId="8759"/>
      <sheetData sheetId="8760"/>
      <sheetData sheetId="8761"/>
      <sheetData sheetId="8762"/>
      <sheetData sheetId="8763"/>
      <sheetData sheetId="8764"/>
      <sheetData sheetId="8765"/>
      <sheetData sheetId="8766"/>
      <sheetData sheetId="8767" refreshError="1"/>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refreshError="1"/>
      <sheetData sheetId="8792" refreshError="1"/>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refreshError="1"/>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sheetData sheetId="8902" refreshError="1"/>
      <sheetData sheetId="8903" refreshError="1"/>
      <sheetData sheetId="8904"/>
      <sheetData sheetId="8905"/>
      <sheetData sheetId="8906"/>
      <sheetData sheetId="8907"/>
      <sheetData sheetId="8908"/>
      <sheetData sheetId="8909"/>
      <sheetData sheetId="8910"/>
      <sheetData sheetId="8911" refreshError="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refreshError="1"/>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refreshError="1"/>
      <sheetData sheetId="9034" refreshError="1"/>
      <sheetData sheetId="9035"/>
      <sheetData sheetId="9036"/>
      <sheetData sheetId="9037"/>
      <sheetData sheetId="9038"/>
      <sheetData sheetId="9039" refreshError="1"/>
      <sheetData sheetId="9040" refreshError="1"/>
      <sheetData sheetId="9041" refreshError="1"/>
      <sheetData sheetId="9042" refreshError="1"/>
      <sheetData sheetId="9043"/>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sheetData sheetId="9055"/>
      <sheetData sheetId="9056"/>
      <sheetData sheetId="9057"/>
      <sheetData sheetId="9058"/>
      <sheetData sheetId="9059"/>
      <sheetData sheetId="9060"/>
      <sheetData sheetId="9061"/>
      <sheetData sheetId="9062" refreshError="1"/>
      <sheetData sheetId="9063" refreshError="1"/>
      <sheetData sheetId="9064" refreshError="1"/>
      <sheetData sheetId="9065" refreshError="1"/>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refreshError="1"/>
      <sheetData sheetId="9087" refreshError="1"/>
      <sheetData sheetId="9088" refreshError="1"/>
      <sheetData sheetId="9089" refreshError="1"/>
      <sheetData sheetId="9090" refreshError="1"/>
      <sheetData sheetId="9091" refreshError="1"/>
      <sheetData sheetId="9092"/>
      <sheetData sheetId="9093"/>
      <sheetData sheetId="9094" refreshError="1"/>
      <sheetData sheetId="9095" refreshError="1"/>
      <sheetData sheetId="9096"/>
      <sheetData sheetId="9097"/>
      <sheetData sheetId="9098"/>
      <sheetData sheetId="9099"/>
      <sheetData sheetId="9100" refreshError="1"/>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refreshError="1"/>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refreshError="1"/>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refreshError="1"/>
      <sheetData sheetId="9204" refreshError="1"/>
      <sheetData sheetId="9205"/>
      <sheetData sheetId="9206"/>
      <sheetData sheetId="9207"/>
      <sheetData sheetId="9208"/>
      <sheetData sheetId="9209"/>
      <sheetData sheetId="9210" refreshError="1"/>
      <sheetData sheetId="9211"/>
      <sheetData sheetId="9212"/>
      <sheetData sheetId="9213"/>
      <sheetData sheetId="9214"/>
      <sheetData sheetId="9215" refreshError="1"/>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refreshError="1"/>
      <sheetData sheetId="9236" refreshError="1"/>
      <sheetData sheetId="9237" refreshError="1"/>
      <sheetData sheetId="9238" refreshError="1"/>
      <sheetData sheetId="9239" refreshError="1"/>
      <sheetData sheetId="9240"/>
      <sheetData sheetId="9241" refreshError="1"/>
      <sheetData sheetId="9242"/>
      <sheetData sheetId="9243"/>
      <sheetData sheetId="9244" refreshError="1"/>
      <sheetData sheetId="9245" refreshError="1"/>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refreshError="1"/>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refreshError="1"/>
      <sheetData sheetId="9354" refreshError="1"/>
      <sheetData sheetId="9355"/>
      <sheetData sheetId="9356" refreshError="1"/>
      <sheetData sheetId="9357" refreshError="1"/>
      <sheetData sheetId="9358"/>
      <sheetData sheetId="9359" refreshError="1"/>
      <sheetData sheetId="9360" refreshError="1"/>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refreshError="1"/>
      <sheetData sheetId="9948" refreshError="1"/>
      <sheetData sheetId="9949" refreshError="1"/>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sheetData sheetId="9982" refreshError="1"/>
      <sheetData sheetId="9983" refreshError="1"/>
      <sheetData sheetId="9984" refreshError="1"/>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sheetData sheetId="10071"/>
      <sheetData sheetId="10072"/>
      <sheetData sheetId="10073"/>
      <sheetData sheetId="10074"/>
      <sheetData sheetId="10075"/>
      <sheetData sheetId="10076"/>
      <sheetData sheetId="10077"/>
      <sheetData sheetId="10078"/>
      <sheetData sheetId="10079"/>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refreshError="1"/>
      <sheetData sheetId="10380" refreshError="1"/>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refreshError="1"/>
      <sheetData sheetId="11442"/>
      <sheetData sheetId="11443"/>
      <sheetData sheetId="11444"/>
      <sheetData sheetId="11445"/>
      <sheetData sheetId="11446"/>
      <sheetData sheetId="11447"/>
      <sheetData sheetId="11448"/>
      <sheetData sheetId="11449"/>
      <sheetData sheetId="11450"/>
      <sheetData sheetId="11451" refreshError="1"/>
      <sheetData sheetId="11452"/>
      <sheetData sheetId="11453"/>
      <sheetData sheetId="11454"/>
      <sheetData sheetId="11455"/>
      <sheetData sheetId="11456"/>
      <sheetData sheetId="11457"/>
      <sheetData sheetId="11458"/>
      <sheetData sheetId="11459"/>
      <sheetData sheetId="11460"/>
      <sheetData sheetId="11461"/>
      <sheetData sheetId="11462" refreshError="1"/>
      <sheetData sheetId="11463" refreshError="1"/>
      <sheetData sheetId="11464" refreshError="1"/>
      <sheetData sheetId="11465" refreshError="1"/>
      <sheetData sheetId="11466" refreshError="1"/>
      <sheetData sheetId="11467" refreshError="1"/>
      <sheetData sheetId="11468"/>
      <sheetData sheetId="11469"/>
      <sheetData sheetId="11470"/>
      <sheetData sheetId="11471"/>
      <sheetData sheetId="11472"/>
      <sheetData sheetId="11473"/>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sheetData sheetId="11486"/>
      <sheetData sheetId="11487"/>
      <sheetData sheetId="11488"/>
      <sheetData sheetId="11489"/>
      <sheetData sheetId="11490"/>
      <sheetData sheetId="11491" refreshError="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refreshError="1"/>
      <sheetData sheetId="11559"/>
      <sheetData sheetId="11560"/>
      <sheetData sheetId="11561" refreshError="1"/>
      <sheetData sheetId="11562" refreshError="1"/>
      <sheetData sheetId="11563" refreshError="1"/>
      <sheetData sheetId="11564" refreshError="1"/>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refreshError="1"/>
      <sheetData sheetId="11578"/>
      <sheetData sheetId="11579"/>
      <sheetData sheetId="11580"/>
      <sheetData sheetId="11581"/>
      <sheetData sheetId="11582"/>
      <sheetData sheetId="11583"/>
      <sheetData sheetId="11584"/>
      <sheetData sheetId="11585"/>
      <sheetData sheetId="11586"/>
      <sheetData sheetId="11587"/>
      <sheetData sheetId="11588" refreshError="1"/>
      <sheetData sheetId="11589"/>
      <sheetData sheetId="11590"/>
      <sheetData sheetId="11591" refreshError="1"/>
      <sheetData sheetId="11592"/>
      <sheetData sheetId="11593" refreshError="1"/>
      <sheetData sheetId="11594" refreshError="1"/>
      <sheetData sheetId="11595" refreshError="1"/>
      <sheetData sheetId="11596" refreshError="1"/>
      <sheetData sheetId="11597"/>
      <sheetData sheetId="11598"/>
      <sheetData sheetId="11599"/>
      <sheetData sheetId="11600"/>
      <sheetData sheetId="11601"/>
      <sheetData sheetId="11602"/>
      <sheetData sheetId="11603"/>
      <sheetData sheetId="11604"/>
      <sheetData sheetId="11605" refreshError="1"/>
      <sheetData sheetId="11606" refreshError="1"/>
      <sheetData sheetId="11607" refreshError="1"/>
      <sheetData sheetId="11608" refreshError="1"/>
      <sheetData sheetId="11609" refreshError="1"/>
      <sheetData sheetId="11610" refreshError="1"/>
      <sheetData sheetId="11611"/>
      <sheetData sheetId="11612" refreshError="1"/>
      <sheetData sheetId="11613" refreshError="1"/>
      <sheetData sheetId="11614" refreshError="1"/>
      <sheetData sheetId="11615" refreshError="1"/>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refreshError="1"/>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refreshError="1"/>
      <sheetData sheetId="11760" refreshError="1"/>
      <sheetData sheetId="11761" refreshError="1"/>
      <sheetData sheetId="11762" refreshError="1"/>
      <sheetData sheetId="11763"/>
      <sheetData sheetId="11764"/>
      <sheetData sheetId="11765"/>
      <sheetData sheetId="11766"/>
      <sheetData sheetId="11767"/>
      <sheetData sheetId="11768"/>
      <sheetData sheetId="11769"/>
      <sheetData sheetId="11770"/>
      <sheetData sheetId="11771"/>
      <sheetData sheetId="11772" refreshError="1"/>
      <sheetData sheetId="11773" refreshError="1"/>
      <sheetData sheetId="11774" refreshError="1"/>
      <sheetData sheetId="11775" refreshError="1"/>
      <sheetData sheetId="11776" refreshError="1"/>
      <sheetData sheetId="11777" refreshError="1"/>
      <sheetData sheetId="11778"/>
      <sheetData sheetId="11779"/>
      <sheetData sheetId="11780" refreshError="1"/>
      <sheetData sheetId="11781" refreshError="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efreshError="1"/>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sheetData sheetId="11950"/>
      <sheetData sheetId="11951"/>
      <sheetData sheetId="11952"/>
      <sheetData sheetId="11953"/>
      <sheetData sheetId="11954"/>
      <sheetData sheetId="11955"/>
      <sheetData sheetId="11956"/>
      <sheetData sheetId="11957"/>
      <sheetData sheetId="11958"/>
      <sheetData sheetId="11959"/>
      <sheetData sheetId="11960" refreshError="1"/>
      <sheetData sheetId="11961" refreshError="1"/>
      <sheetData sheetId="11962" refreshError="1"/>
      <sheetData sheetId="11963" refreshError="1"/>
      <sheetData sheetId="11964"/>
      <sheetData sheetId="11965"/>
      <sheetData sheetId="11966" refreshError="1"/>
      <sheetData sheetId="11967" refreshError="1"/>
      <sheetData sheetId="11968" refreshError="1"/>
      <sheetData sheetId="11969" refreshError="1"/>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sheetData sheetId="12482"/>
      <sheetData sheetId="12483"/>
      <sheetData sheetId="12484"/>
      <sheetData sheetId="12485"/>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sheetData sheetId="12526"/>
      <sheetData sheetId="12527"/>
      <sheetData sheetId="12528"/>
      <sheetData sheetId="12529"/>
      <sheetData sheetId="12530"/>
      <sheetData sheetId="12531"/>
      <sheetData sheetId="12532"/>
      <sheetData sheetId="12533"/>
      <sheetData sheetId="12534"/>
      <sheetData sheetId="12535"/>
      <sheetData sheetId="12536"/>
      <sheetData sheetId="12537"/>
      <sheetData sheetId="12538"/>
      <sheetData sheetId="12539"/>
      <sheetData sheetId="12540"/>
      <sheetData sheetId="12541"/>
      <sheetData sheetId="12542"/>
      <sheetData sheetId="12543"/>
      <sheetData sheetId="12544"/>
      <sheetData sheetId="12545"/>
      <sheetData sheetId="12546"/>
      <sheetData sheetId="12547"/>
      <sheetData sheetId="12548"/>
      <sheetData sheetId="12549"/>
      <sheetData sheetId="12550"/>
      <sheetData sheetId="12551"/>
      <sheetData sheetId="12552"/>
      <sheetData sheetId="12553"/>
      <sheetData sheetId="12554"/>
      <sheetData sheetId="12555"/>
      <sheetData sheetId="12556"/>
      <sheetData sheetId="12557"/>
      <sheetData sheetId="12558"/>
      <sheetData sheetId="12559"/>
      <sheetData sheetId="12560"/>
      <sheetData sheetId="12561"/>
      <sheetData sheetId="12562"/>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sheetData sheetId="12584"/>
      <sheetData sheetId="12585"/>
      <sheetData sheetId="12586"/>
      <sheetData sheetId="12587"/>
      <sheetData sheetId="12588"/>
      <sheetData sheetId="12589"/>
      <sheetData sheetId="12590"/>
      <sheetData sheetId="12591"/>
      <sheetData sheetId="12592"/>
      <sheetData sheetId="12593"/>
      <sheetData sheetId="12594"/>
      <sheetData sheetId="12595"/>
      <sheetData sheetId="12596"/>
      <sheetData sheetId="12597"/>
      <sheetData sheetId="12598"/>
      <sheetData sheetId="12599"/>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sheetData sheetId="12621"/>
      <sheetData sheetId="12622"/>
      <sheetData sheetId="12623"/>
      <sheetData sheetId="12624"/>
      <sheetData sheetId="12625"/>
      <sheetData sheetId="12626"/>
      <sheetData sheetId="12627"/>
      <sheetData sheetId="12628"/>
      <sheetData sheetId="12629"/>
      <sheetData sheetId="12630"/>
      <sheetData sheetId="12631"/>
      <sheetData sheetId="12632"/>
      <sheetData sheetId="12633"/>
      <sheetData sheetId="12634"/>
      <sheetData sheetId="12635"/>
      <sheetData sheetId="12636"/>
      <sheetData sheetId="12637"/>
      <sheetData sheetId="12638"/>
      <sheetData sheetId="12639"/>
      <sheetData sheetId="12640"/>
      <sheetData sheetId="12641"/>
      <sheetData sheetId="12642"/>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sheetData sheetId="12657"/>
      <sheetData sheetId="12658"/>
      <sheetData sheetId="12659"/>
      <sheetData sheetId="12660"/>
      <sheetData sheetId="12661"/>
      <sheetData sheetId="12662"/>
      <sheetData sheetId="12663"/>
      <sheetData sheetId="12664"/>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sheetData sheetId="12886"/>
      <sheetData sheetId="12887"/>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sheetData sheetId="12898"/>
      <sheetData sheetId="12899"/>
      <sheetData sheetId="12900"/>
      <sheetData sheetId="1290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sheetData sheetId="13025" refreshError="1"/>
      <sheetData sheetId="13026" refreshError="1"/>
      <sheetData sheetId="13027"/>
      <sheetData sheetId="13028"/>
      <sheetData sheetId="13029"/>
      <sheetData sheetId="13030"/>
      <sheetData sheetId="13031"/>
      <sheetData sheetId="13032"/>
      <sheetData sheetId="13033"/>
      <sheetData sheetId="13034"/>
      <sheetData sheetId="13035"/>
      <sheetData sheetId="13036"/>
      <sheetData sheetId="13037"/>
      <sheetData sheetId="13038"/>
      <sheetData sheetId="13039"/>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sheetData sheetId="13084"/>
      <sheetData sheetId="13085"/>
      <sheetData sheetId="13086"/>
      <sheetData sheetId="13087"/>
      <sheetData sheetId="13088" refreshError="1"/>
      <sheetData sheetId="13089"/>
      <sheetData sheetId="13090" refreshError="1"/>
      <sheetData sheetId="13091" refreshError="1"/>
      <sheetData sheetId="13092"/>
      <sheetData sheetId="13093"/>
      <sheetData sheetId="13094"/>
      <sheetData sheetId="13095"/>
      <sheetData sheetId="13096"/>
      <sheetData sheetId="13097"/>
      <sheetData sheetId="13098"/>
      <sheetData sheetId="13099"/>
      <sheetData sheetId="13100"/>
      <sheetData sheetId="13101"/>
      <sheetData sheetId="13102" refreshError="1"/>
      <sheetData sheetId="13103"/>
      <sheetData sheetId="13104"/>
      <sheetData sheetId="13105"/>
      <sheetData sheetId="13106" refreshError="1"/>
      <sheetData sheetId="13107"/>
      <sheetData sheetId="13108"/>
      <sheetData sheetId="13109"/>
      <sheetData sheetId="13110"/>
      <sheetData sheetId="13111"/>
      <sheetData sheetId="13112"/>
      <sheetData sheetId="13113"/>
      <sheetData sheetId="13114"/>
      <sheetData sheetId="13115"/>
      <sheetData sheetId="13116"/>
      <sheetData sheetId="13117"/>
      <sheetData sheetId="13118" refreshError="1"/>
      <sheetData sheetId="13119" refreshError="1"/>
      <sheetData sheetId="13120" refreshError="1"/>
      <sheetData sheetId="13121" refreshError="1"/>
      <sheetData sheetId="13122" refreshError="1"/>
      <sheetData sheetId="13123" refreshError="1"/>
      <sheetData sheetId="13124"/>
      <sheetData sheetId="13125"/>
      <sheetData sheetId="13126"/>
      <sheetData sheetId="13127"/>
      <sheetData sheetId="13128" refreshError="1"/>
      <sheetData sheetId="13129" refreshError="1"/>
      <sheetData sheetId="13130"/>
      <sheetData sheetId="13131"/>
      <sheetData sheetId="13132"/>
      <sheetData sheetId="13133" refreshError="1"/>
      <sheetData sheetId="13134" refreshError="1"/>
      <sheetData sheetId="13135" refreshError="1"/>
      <sheetData sheetId="13136" refreshError="1"/>
      <sheetData sheetId="13137"/>
      <sheetData sheetId="13138"/>
      <sheetData sheetId="13139"/>
      <sheetData sheetId="13140"/>
      <sheetData sheetId="13141"/>
      <sheetData sheetId="13142"/>
      <sheetData sheetId="13143"/>
      <sheetData sheetId="13144" refreshError="1"/>
      <sheetData sheetId="13145"/>
      <sheetData sheetId="13146"/>
      <sheetData sheetId="13147"/>
      <sheetData sheetId="13148"/>
      <sheetData sheetId="13149"/>
      <sheetData sheetId="13150"/>
      <sheetData sheetId="13151"/>
      <sheetData sheetId="13152"/>
      <sheetData sheetId="13153"/>
      <sheetData sheetId="13154"/>
      <sheetData sheetId="13155"/>
      <sheetData sheetId="13156"/>
      <sheetData sheetId="13157"/>
      <sheetData sheetId="13158"/>
      <sheetData sheetId="13159" refreshError="1"/>
      <sheetData sheetId="13160" refreshError="1"/>
      <sheetData sheetId="13161"/>
      <sheetData sheetId="13162"/>
      <sheetData sheetId="13163"/>
      <sheetData sheetId="13164"/>
      <sheetData sheetId="13165"/>
      <sheetData sheetId="13166"/>
      <sheetData sheetId="13167"/>
      <sheetData sheetId="13168"/>
      <sheetData sheetId="13169"/>
      <sheetData sheetId="13170"/>
      <sheetData sheetId="13171"/>
      <sheetData sheetId="13172"/>
      <sheetData sheetId="13173" refreshError="1"/>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refreshError="1"/>
      <sheetData sheetId="13188" refreshError="1"/>
      <sheetData sheetId="13189" refreshError="1"/>
      <sheetData sheetId="13190" refreshError="1"/>
      <sheetData sheetId="13191" refreshError="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refreshError="1"/>
      <sheetData sheetId="13268"/>
      <sheetData sheetId="13269" refreshError="1"/>
      <sheetData sheetId="13270" refreshError="1"/>
      <sheetData sheetId="13271"/>
      <sheetData sheetId="13272" refreshError="1"/>
      <sheetData sheetId="13273" refreshError="1"/>
      <sheetData sheetId="13274"/>
      <sheetData sheetId="13275"/>
      <sheetData sheetId="13276"/>
      <sheetData sheetId="13277"/>
      <sheetData sheetId="13278"/>
      <sheetData sheetId="13279"/>
      <sheetData sheetId="13280"/>
      <sheetData sheetId="13281"/>
      <sheetData sheetId="13282"/>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refreshError="1"/>
      <sheetData sheetId="13313" refreshError="1"/>
      <sheetData sheetId="13314" refreshError="1"/>
      <sheetData sheetId="13315" refreshError="1"/>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refreshError="1"/>
      <sheetData sheetId="13346"/>
      <sheetData sheetId="13347" refreshError="1"/>
      <sheetData sheetId="13348"/>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sheetData sheetId="14070" refreshError="1"/>
      <sheetData sheetId="14071"/>
      <sheetData sheetId="14072"/>
      <sheetData sheetId="14073"/>
      <sheetData sheetId="14074" refreshError="1"/>
      <sheetData sheetId="14075" refreshError="1"/>
      <sheetData sheetId="14076" refreshError="1"/>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refreshError="1"/>
      <sheetData sheetId="14323"/>
      <sheetData sheetId="14324"/>
      <sheetData sheetId="14325" refreshError="1"/>
      <sheetData sheetId="14326" refreshError="1"/>
      <sheetData sheetId="14327" refreshError="1"/>
      <sheetData sheetId="14328" refreshError="1"/>
      <sheetData sheetId="14329" refreshError="1"/>
      <sheetData sheetId="14330" refreshError="1"/>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refreshError="1"/>
      <sheetData sheetId="14350" refreshError="1"/>
      <sheetData sheetId="14351" refreshError="1"/>
      <sheetData sheetId="14352" refreshError="1"/>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refreshError="1"/>
      <sheetData sheetId="14377" refreshError="1"/>
      <sheetData sheetId="14378" refreshError="1"/>
      <sheetData sheetId="14379" refreshError="1"/>
      <sheetData sheetId="14380" refreshError="1"/>
      <sheetData sheetId="14381" refreshError="1"/>
      <sheetData sheetId="14382"/>
      <sheetData sheetId="14383" refreshError="1"/>
      <sheetData sheetId="14384" refreshError="1"/>
      <sheetData sheetId="14385"/>
      <sheetData sheetId="14386"/>
      <sheetData sheetId="14387"/>
      <sheetData sheetId="14388"/>
      <sheetData sheetId="14389"/>
      <sheetData sheetId="14390"/>
      <sheetData sheetId="14391"/>
      <sheetData sheetId="14392"/>
      <sheetData sheetId="14393"/>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efreshError="1"/>
      <sheetData sheetId="14839" refreshError="1"/>
      <sheetData sheetId="14840" refreshError="1"/>
      <sheetData sheetId="14841" refreshError="1"/>
      <sheetData sheetId="14842" refreshError="1"/>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refreshError="1"/>
      <sheetData sheetId="14860" refreshError="1"/>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sheetData sheetId="15485"/>
      <sheetData sheetId="15486"/>
      <sheetData sheetId="15487"/>
      <sheetData sheetId="15488"/>
      <sheetData sheetId="15489"/>
      <sheetData sheetId="15490"/>
      <sheetData sheetId="15491"/>
      <sheetData sheetId="15492"/>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sheetData sheetId="15520"/>
      <sheetData sheetId="15521"/>
      <sheetData sheetId="15522"/>
      <sheetData sheetId="15523"/>
      <sheetData sheetId="15524"/>
      <sheetData sheetId="15525"/>
      <sheetData sheetId="15526"/>
      <sheetData sheetId="15527"/>
      <sheetData sheetId="15528"/>
      <sheetData sheetId="15529"/>
      <sheetData sheetId="15530"/>
      <sheetData sheetId="15531"/>
      <sheetData sheetId="15532"/>
      <sheetData sheetId="15533"/>
      <sheetData sheetId="15534"/>
      <sheetData sheetId="15535"/>
      <sheetData sheetId="15536"/>
      <sheetData sheetId="15537"/>
      <sheetData sheetId="15538"/>
      <sheetData sheetId="15539"/>
      <sheetData sheetId="15540"/>
      <sheetData sheetId="15541"/>
      <sheetData sheetId="15542"/>
      <sheetData sheetId="15543"/>
      <sheetData sheetId="15544"/>
      <sheetData sheetId="15545"/>
      <sheetData sheetId="15546"/>
      <sheetData sheetId="15547"/>
      <sheetData sheetId="15548"/>
      <sheetData sheetId="15549"/>
      <sheetData sheetId="15550"/>
      <sheetData sheetId="15551"/>
      <sheetData sheetId="15552"/>
      <sheetData sheetId="15553"/>
      <sheetData sheetId="15554"/>
      <sheetData sheetId="15555"/>
      <sheetData sheetId="15556"/>
      <sheetData sheetId="15557"/>
      <sheetData sheetId="15558"/>
      <sheetData sheetId="15559"/>
      <sheetData sheetId="15560"/>
      <sheetData sheetId="15561"/>
      <sheetData sheetId="15562"/>
      <sheetData sheetId="15563"/>
      <sheetData sheetId="15564"/>
      <sheetData sheetId="15565"/>
      <sheetData sheetId="15566"/>
      <sheetData sheetId="15567"/>
      <sheetData sheetId="15568"/>
      <sheetData sheetId="15569"/>
      <sheetData sheetId="15570"/>
      <sheetData sheetId="15571"/>
      <sheetData sheetId="15572"/>
      <sheetData sheetId="15573"/>
      <sheetData sheetId="15574"/>
      <sheetData sheetId="15575"/>
      <sheetData sheetId="15576"/>
      <sheetData sheetId="15577"/>
      <sheetData sheetId="15578"/>
      <sheetData sheetId="15579"/>
      <sheetData sheetId="15580"/>
      <sheetData sheetId="15581"/>
      <sheetData sheetId="15582"/>
      <sheetData sheetId="15583"/>
      <sheetData sheetId="15584"/>
      <sheetData sheetId="15585"/>
      <sheetData sheetId="15586"/>
      <sheetData sheetId="15587"/>
      <sheetData sheetId="15588"/>
      <sheetData sheetId="15589"/>
      <sheetData sheetId="15590"/>
      <sheetData sheetId="15591"/>
      <sheetData sheetId="15592"/>
      <sheetData sheetId="15593"/>
      <sheetData sheetId="15594"/>
      <sheetData sheetId="15595"/>
      <sheetData sheetId="15596"/>
      <sheetData sheetId="15597"/>
      <sheetData sheetId="15598"/>
      <sheetData sheetId="15599"/>
      <sheetData sheetId="15600"/>
      <sheetData sheetId="15601"/>
      <sheetData sheetId="15602"/>
      <sheetData sheetId="15603"/>
      <sheetData sheetId="15604"/>
      <sheetData sheetId="15605"/>
      <sheetData sheetId="15606"/>
      <sheetData sheetId="15607"/>
      <sheetData sheetId="15608"/>
      <sheetData sheetId="15609"/>
      <sheetData sheetId="15610"/>
      <sheetData sheetId="15611"/>
      <sheetData sheetId="15612"/>
      <sheetData sheetId="15613"/>
      <sheetData sheetId="15614"/>
      <sheetData sheetId="15615"/>
      <sheetData sheetId="15616"/>
      <sheetData sheetId="15617"/>
      <sheetData sheetId="15618"/>
      <sheetData sheetId="15619"/>
      <sheetData sheetId="15620"/>
      <sheetData sheetId="15621"/>
      <sheetData sheetId="15622"/>
      <sheetData sheetId="15623"/>
      <sheetData sheetId="15624"/>
      <sheetData sheetId="15625"/>
      <sheetData sheetId="15626" refreshError="1"/>
      <sheetData sheetId="15627" refreshError="1"/>
      <sheetData sheetId="15628" refreshError="1"/>
      <sheetData sheetId="15629"/>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sheetData sheetId="15697"/>
      <sheetData sheetId="15698"/>
      <sheetData sheetId="15699"/>
      <sheetData sheetId="15700"/>
      <sheetData sheetId="15701"/>
      <sheetData sheetId="15702"/>
      <sheetData sheetId="15703"/>
      <sheetData sheetId="15704"/>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efreshError="1"/>
      <sheetData sheetId="15929" refreshError="1"/>
      <sheetData sheetId="15930" refreshError="1"/>
      <sheetData sheetId="15931" refreshError="1"/>
      <sheetData sheetId="15932" refreshError="1"/>
      <sheetData sheetId="15933" refreshError="1"/>
      <sheetData sheetId="15934" refreshError="1"/>
      <sheetData sheetId="15935" refreshError="1"/>
      <sheetData sheetId="15936" refreshError="1"/>
      <sheetData sheetId="15937" refreshError="1"/>
      <sheetData sheetId="15938" refreshError="1"/>
      <sheetData sheetId="15939" refreshError="1"/>
      <sheetData sheetId="15940" refreshError="1"/>
      <sheetData sheetId="15941" refreshError="1"/>
      <sheetData sheetId="15942" refreshError="1"/>
      <sheetData sheetId="15943" refreshError="1"/>
      <sheetData sheetId="15944" refreshError="1"/>
      <sheetData sheetId="15945" refreshError="1"/>
      <sheetData sheetId="15946" refreshError="1"/>
      <sheetData sheetId="15947" refreshError="1"/>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sheetData sheetId="16001"/>
      <sheetData sheetId="16002"/>
      <sheetData sheetId="16003"/>
      <sheetData sheetId="16004"/>
      <sheetData sheetId="16005" refreshError="1"/>
      <sheetData sheetId="16006"/>
      <sheetData sheetId="16007"/>
      <sheetData sheetId="16008"/>
      <sheetData sheetId="16009" refreshError="1"/>
      <sheetData sheetId="16010" refreshError="1"/>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refreshError="1"/>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refreshError="1"/>
      <sheetData sheetId="16119" refreshError="1"/>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sheetData sheetId="16291"/>
      <sheetData sheetId="16292"/>
      <sheetData sheetId="16293"/>
      <sheetData sheetId="16294" refreshError="1"/>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refreshError="1"/>
      <sheetData sheetId="16322" refreshError="1"/>
      <sheetData sheetId="16323"/>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sheetData sheetId="16333" refreshError="1"/>
      <sheetData sheetId="16334" refreshError="1"/>
      <sheetData sheetId="16335" refreshError="1"/>
      <sheetData sheetId="16336" refreshError="1"/>
      <sheetData sheetId="16337" refreshError="1"/>
      <sheetData sheetId="16338" refreshError="1"/>
      <sheetData sheetId="16339" refreshError="1"/>
      <sheetData sheetId="16340" refreshError="1"/>
      <sheetData sheetId="16341"/>
      <sheetData sheetId="16342" refreshError="1"/>
      <sheetData sheetId="16343" refreshError="1"/>
      <sheetData sheetId="16344"/>
      <sheetData sheetId="16345"/>
      <sheetData sheetId="16346" refreshError="1"/>
      <sheetData sheetId="16347" refreshError="1"/>
      <sheetData sheetId="16348" refreshError="1"/>
      <sheetData sheetId="16349"/>
      <sheetData sheetId="16350" refreshError="1"/>
      <sheetData sheetId="16351"/>
      <sheetData sheetId="16352"/>
      <sheetData sheetId="16353" refreshError="1"/>
      <sheetData sheetId="16354"/>
      <sheetData sheetId="16355"/>
      <sheetData sheetId="16356"/>
      <sheetData sheetId="16357"/>
      <sheetData sheetId="16358"/>
      <sheetData sheetId="16359"/>
      <sheetData sheetId="16360"/>
      <sheetData sheetId="16361"/>
      <sheetData sheetId="16362"/>
      <sheetData sheetId="16363"/>
      <sheetData sheetId="16364" refreshError="1"/>
      <sheetData sheetId="16365" refreshError="1"/>
      <sheetData sheetId="16366" refreshError="1"/>
      <sheetData sheetId="16367" refreshError="1"/>
      <sheetData sheetId="16368" refreshError="1"/>
      <sheetData sheetId="16369" refreshError="1"/>
      <sheetData sheetId="16370"/>
      <sheetData sheetId="16371" refreshError="1"/>
      <sheetData sheetId="16372" refreshError="1"/>
      <sheetData sheetId="16373" refreshError="1"/>
      <sheetData sheetId="16374" refreshError="1"/>
      <sheetData sheetId="16375" refreshError="1"/>
      <sheetData sheetId="16376"/>
      <sheetData sheetId="16377"/>
      <sheetData sheetId="16378"/>
      <sheetData sheetId="16379"/>
      <sheetData sheetId="16380" refreshError="1"/>
      <sheetData sheetId="16381"/>
      <sheetData sheetId="16382"/>
      <sheetData sheetId="16383" refreshError="1"/>
      <sheetData sheetId="16384" refreshError="1"/>
      <sheetData sheetId="16385" refreshError="1"/>
      <sheetData sheetId="16386" refreshError="1"/>
      <sheetData sheetId="16387"/>
      <sheetData sheetId="16388"/>
      <sheetData sheetId="16389"/>
      <sheetData sheetId="16390"/>
      <sheetData sheetId="16391"/>
      <sheetData sheetId="16392"/>
      <sheetData sheetId="16393"/>
      <sheetData sheetId="16394" refreshError="1"/>
      <sheetData sheetId="16395" refreshError="1"/>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refreshError="1"/>
      <sheetData sheetId="16467"/>
      <sheetData sheetId="16468" refreshError="1"/>
      <sheetData sheetId="16469"/>
      <sheetData sheetId="16470"/>
      <sheetData sheetId="16471"/>
      <sheetData sheetId="16472" refreshError="1"/>
      <sheetData sheetId="16473" refreshError="1"/>
      <sheetData sheetId="16474"/>
      <sheetData sheetId="16475"/>
      <sheetData sheetId="16476"/>
      <sheetData sheetId="16477"/>
      <sheetData sheetId="16478"/>
      <sheetData sheetId="16479"/>
      <sheetData sheetId="16480"/>
      <sheetData sheetId="16481"/>
      <sheetData sheetId="16482"/>
      <sheetData sheetId="16483"/>
      <sheetData sheetId="16484" refreshError="1"/>
      <sheetData sheetId="16485"/>
      <sheetData sheetId="16486"/>
      <sheetData sheetId="16487"/>
      <sheetData sheetId="16488"/>
      <sheetData sheetId="16489" refreshError="1"/>
      <sheetData sheetId="16490"/>
      <sheetData sheetId="16491"/>
      <sheetData sheetId="16492" refreshError="1"/>
      <sheetData sheetId="16493" refreshError="1"/>
      <sheetData sheetId="16494" refreshError="1"/>
      <sheetData sheetId="16495" refreshError="1"/>
      <sheetData sheetId="16496"/>
      <sheetData sheetId="16497"/>
      <sheetData sheetId="16498"/>
      <sheetData sheetId="16499"/>
      <sheetData sheetId="16500"/>
      <sheetData sheetId="16501"/>
      <sheetData sheetId="16502"/>
      <sheetData sheetId="16503" refreshError="1"/>
      <sheetData sheetId="16504" refreshError="1"/>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refreshError="1"/>
      <sheetData sheetId="16576" refreshError="1"/>
      <sheetData sheetId="16577" refreshError="1"/>
      <sheetData sheetId="16578" refreshError="1"/>
      <sheetData sheetId="16579" refreshError="1"/>
      <sheetData sheetId="16580" refreshError="1"/>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refreshError="1"/>
      <sheetData sheetId="16739"/>
      <sheetData sheetId="16740"/>
      <sheetData sheetId="16741"/>
      <sheetData sheetId="16742"/>
      <sheetData sheetId="16743"/>
      <sheetData sheetId="16744"/>
      <sheetData sheetId="16745" refreshError="1"/>
      <sheetData sheetId="16746" refreshError="1"/>
      <sheetData sheetId="16747" refreshError="1"/>
      <sheetData sheetId="16748"/>
      <sheetData sheetId="16749" refreshError="1"/>
      <sheetData sheetId="16750" refreshError="1"/>
      <sheetData sheetId="16751" refreshError="1"/>
      <sheetData sheetId="16752" refreshError="1"/>
      <sheetData sheetId="16753" refreshError="1"/>
      <sheetData sheetId="16754" refreshError="1"/>
      <sheetData sheetId="16755" refreshError="1"/>
      <sheetData sheetId="16756" refreshError="1"/>
      <sheetData sheetId="16757" refreshError="1"/>
      <sheetData sheetId="16758" refreshError="1"/>
      <sheetData sheetId="16759" refreshError="1"/>
      <sheetData sheetId="16760" refreshError="1"/>
      <sheetData sheetId="16761" refreshError="1"/>
      <sheetData sheetId="16762" refreshError="1"/>
      <sheetData sheetId="16763" refreshError="1"/>
      <sheetData sheetId="16764" refreshError="1"/>
      <sheetData sheetId="16765" refreshError="1"/>
      <sheetData sheetId="16766" refreshError="1"/>
      <sheetData sheetId="16767" refreshError="1"/>
      <sheetData sheetId="16768" refreshError="1"/>
      <sheetData sheetId="16769" refreshError="1"/>
      <sheetData sheetId="16770" refreshError="1"/>
      <sheetData sheetId="16771" refreshError="1"/>
      <sheetData sheetId="16772" refreshError="1"/>
      <sheetData sheetId="16773" refreshError="1"/>
      <sheetData sheetId="16774" refreshError="1"/>
      <sheetData sheetId="16775" refreshError="1"/>
      <sheetData sheetId="16776" refreshError="1"/>
      <sheetData sheetId="16777" refreshError="1"/>
      <sheetData sheetId="16778" refreshError="1"/>
      <sheetData sheetId="16779" refreshError="1"/>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refreshError="1"/>
      <sheetData sheetId="16803" refreshError="1"/>
      <sheetData sheetId="16804" refreshError="1"/>
      <sheetData sheetId="16805" refreshError="1"/>
      <sheetData sheetId="16806" refreshError="1"/>
      <sheetData sheetId="16807" refreshError="1"/>
      <sheetData sheetId="16808" refreshError="1"/>
      <sheetData sheetId="16809" refreshError="1"/>
      <sheetData sheetId="16810" refreshError="1"/>
      <sheetData sheetId="16811" refreshError="1"/>
      <sheetData sheetId="16812" refreshError="1"/>
      <sheetData sheetId="16813" refreshError="1"/>
      <sheetData sheetId="16814" refreshError="1"/>
      <sheetData sheetId="16815" refreshError="1"/>
      <sheetData sheetId="16816" refreshError="1"/>
      <sheetData sheetId="16817" refreshError="1"/>
      <sheetData sheetId="16818" refreshError="1"/>
      <sheetData sheetId="16819" refreshError="1"/>
      <sheetData sheetId="16820" refreshError="1"/>
      <sheetData sheetId="16821" refreshError="1"/>
      <sheetData sheetId="16822" refreshError="1"/>
      <sheetData sheetId="16823"/>
      <sheetData sheetId="16824"/>
      <sheetData sheetId="16825"/>
      <sheetData sheetId="16826"/>
      <sheetData sheetId="16827"/>
      <sheetData sheetId="16828"/>
      <sheetData sheetId="16829"/>
      <sheetData sheetId="16830" refreshError="1"/>
      <sheetData sheetId="16831" refreshError="1"/>
      <sheetData sheetId="16832" refreshError="1"/>
      <sheetData sheetId="16833" refreshError="1"/>
      <sheetData sheetId="16834"/>
      <sheetData sheetId="16835"/>
      <sheetData sheetId="16836" refreshError="1"/>
      <sheetData sheetId="16837" refreshError="1"/>
      <sheetData sheetId="16838" refreshError="1"/>
      <sheetData sheetId="16839" refreshError="1"/>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refreshError="1"/>
      <sheetData sheetId="16876" refreshError="1"/>
      <sheetData sheetId="16877" refreshError="1"/>
      <sheetData sheetId="16878" refreshError="1"/>
      <sheetData sheetId="16879" refreshError="1"/>
      <sheetData sheetId="16880" refreshError="1"/>
      <sheetData sheetId="16881" refreshError="1"/>
      <sheetData sheetId="16882"/>
      <sheetData sheetId="16883" refreshError="1"/>
      <sheetData sheetId="16884" refreshError="1"/>
      <sheetData sheetId="16885" refreshError="1"/>
      <sheetData sheetId="16886" refreshError="1"/>
      <sheetData sheetId="16887" refreshError="1"/>
      <sheetData sheetId="16888" refreshError="1"/>
      <sheetData sheetId="16889" refreshError="1"/>
      <sheetData sheetId="16890" refreshError="1"/>
      <sheetData sheetId="16891" refreshError="1"/>
      <sheetData sheetId="16892" refreshError="1"/>
      <sheetData sheetId="16893" refreshError="1"/>
      <sheetData sheetId="16894" refreshError="1"/>
      <sheetData sheetId="16895" refreshError="1"/>
      <sheetData sheetId="16896" refreshError="1"/>
      <sheetData sheetId="16897" refreshError="1"/>
      <sheetData sheetId="16898" refreshError="1"/>
      <sheetData sheetId="16899" refreshError="1"/>
      <sheetData sheetId="16900" refreshError="1"/>
      <sheetData sheetId="16901" refreshError="1"/>
      <sheetData sheetId="16902" refreshError="1"/>
      <sheetData sheetId="16903" refreshError="1"/>
      <sheetData sheetId="16904" refreshError="1"/>
      <sheetData sheetId="16905"/>
      <sheetData sheetId="16906"/>
      <sheetData sheetId="16907" refreshError="1"/>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refreshError="1"/>
      <sheetData sheetId="16933" refreshError="1"/>
      <sheetData sheetId="16934" refreshError="1"/>
      <sheetData sheetId="16935" refreshError="1"/>
      <sheetData sheetId="16936" refreshError="1"/>
      <sheetData sheetId="16937" refreshError="1"/>
      <sheetData sheetId="16938"/>
      <sheetData sheetId="16939"/>
      <sheetData sheetId="16940"/>
      <sheetData sheetId="16941" refreshError="1"/>
      <sheetData sheetId="16942" refreshError="1"/>
      <sheetData sheetId="16943" refreshError="1"/>
      <sheetData sheetId="16944" refreshError="1"/>
      <sheetData sheetId="16945" refreshError="1"/>
      <sheetData sheetId="16946" refreshError="1"/>
      <sheetData sheetId="16947" refreshError="1"/>
      <sheetData sheetId="16948"/>
      <sheetData sheetId="16949" refreshError="1"/>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refreshError="1"/>
      <sheetData sheetId="17032" refreshError="1"/>
      <sheetData sheetId="17033" refreshError="1"/>
      <sheetData sheetId="17034" refreshError="1"/>
      <sheetData sheetId="17035" refreshError="1"/>
      <sheetData sheetId="17036" refreshError="1"/>
      <sheetData sheetId="17037"/>
      <sheetData sheetId="17038" refreshError="1"/>
      <sheetData sheetId="17039" refreshError="1"/>
      <sheetData sheetId="17040" refreshError="1"/>
      <sheetData sheetId="17041" refreshError="1"/>
      <sheetData sheetId="17042" refreshError="1"/>
      <sheetData sheetId="17043" refreshError="1"/>
      <sheetData sheetId="17044" refreshError="1"/>
      <sheetData sheetId="17045" refreshError="1"/>
      <sheetData sheetId="17046" refreshError="1"/>
      <sheetData sheetId="17047" refreshError="1"/>
      <sheetData sheetId="17048" refreshError="1"/>
      <sheetData sheetId="17049" refreshError="1"/>
      <sheetData sheetId="17050" refreshError="1"/>
      <sheetData sheetId="17051" refreshError="1"/>
      <sheetData sheetId="17052" refreshError="1"/>
      <sheetData sheetId="17053" refreshError="1"/>
      <sheetData sheetId="17054" refreshError="1"/>
      <sheetData sheetId="17055" refreshError="1"/>
      <sheetData sheetId="17056" refreshError="1"/>
      <sheetData sheetId="17057" refreshError="1"/>
      <sheetData sheetId="17058" refreshError="1"/>
      <sheetData sheetId="17059" refreshError="1"/>
      <sheetData sheetId="17060" refreshError="1"/>
      <sheetData sheetId="17061" refreshError="1"/>
      <sheetData sheetId="17062" refreshError="1"/>
      <sheetData sheetId="17063"/>
      <sheetData sheetId="17064"/>
      <sheetData sheetId="17065"/>
      <sheetData sheetId="17066" refreshError="1"/>
      <sheetData sheetId="17067" refreshError="1"/>
      <sheetData sheetId="17068" refreshError="1"/>
      <sheetData sheetId="17069" refreshError="1"/>
      <sheetData sheetId="17070" refreshError="1"/>
      <sheetData sheetId="17071" refreshError="1"/>
      <sheetData sheetId="17072" refreshError="1"/>
      <sheetData sheetId="17073" refreshError="1"/>
      <sheetData sheetId="17074" refreshError="1"/>
      <sheetData sheetId="17075" refreshError="1"/>
      <sheetData sheetId="17076" refreshError="1"/>
      <sheetData sheetId="17077" refreshError="1"/>
      <sheetData sheetId="17078" refreshError="1"/>
      <sheetData sheetId="17079" refreshError="1"/>
      <sheetData sheetId="17080" refreshError="1"/>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sheetData sheetId="17614"/>
      <sheetData sheetId="17615"/>
      <sheetData sheetId="17616"/>
      <sheetData sheetId="17617"/>
      <sheetData sheetId="17618"/>
      <sheetData sheetId="17619"/>
      <sheetData sheetId="17620"/>
      <sheetData sheetId="17621"/>
      <sheetData sheetId="17622"/>
      <sheetData sheetId="17623"/>
      <sheetData sheetId="17624"/>
      <sheetData sheetId="17625"/>
      <sheetData sheetId="17626"/>
      <sheetData sheetId="17627"/>
      <sheetData sheetId="17628"/>
      <sheetData sheetId="17629"/>
      <sheetData sheetId="17630"/>
      <sheetData sheetId="17631"/>
      <sheetData sheetId="17632"/>
      <sheetData sheetId="17633"/>
      <sheetData sheetId="17634"/>
      <sheetData sheetId="17635"/>
      <sheetData sheetId="17636"/>
      <sheetData sheetId="17637"/>
      <sheetData sheetId="17638"/>
      <sheetData sheetId="17639"/>
      <sheetData sheetId="17640"/>
      <sheetData sheetId="17641"/>
      <sheetData sheetId="17642"/>
      <sheetData sheetId="17643"/>
      <sheetData sheetId="17644"/>
      <sheetData sheetId="17645"/>
      <sheetData sheetId="17646"/>
      <sheetData sheetId="17647"/>
      <sheetData sheetId="17648"/>
      <sheetData sheetId="17649"/>
      <sheetData sheetId="17650"/>
      <sheetData sheetId="17651"/>
      <sheetData sheetId="17652"/>
      <sheetData sheetId="17653"/>
      <sheetData sheetId="17654"/>
      <sheetData sheetId="17655"/>
      <sheetData sheetId="17656"/>
      <sheetData sheetId="17657"/>
      <sheetData sheetId="17658"/>
      <sheetData sheetId="17659"/>
      <sheetData sheetId="17660"/>
      <sheetData sheetId="17661"/>
      <sheetData sheetId="17662"/>
      <sheetData sheetId="17663"/>
      <sheetData sheetId="17664"/>
      <sheetData sheetId="17665"/>
      <sheetData sheetId="17666"/>
      <sheetData sheetId="17667"/>
      <sheetData sheetId="17668"/>
      <sheetData sheetId="17669"/>
      <sheetData sheetId="17670"/>
      <sheetData sheetId="17671"/>
      <sheetData sheetId="17672"/>
      <sheetData sheetId="17673"/>
      <sheetData sheetId="17674"/>
      <sheetData sheetId="17675"/>
      <sheetData sheetId="17676"/>
      <sheetData sheetId="17677"/>
      <sheetData sheetId="17678"/>
      <sheetData sheetId="17679"/>
      <sheetData sheetId="17680"/>
      <sheetData sheetId="17681"/>
      <sheetData sheetId="17682"/>
      <sheetData sheetId="17683"/>
      <sheetData sheetId="17684"/>
      <sheetData sheetId="17685"/>
      <sheetData sheetId="17686"/>
      <sheetData sheetId="17687"/>
      <sheetData sheetId="17688"/>
      <sheetData sheetId="17689"/>
      <sheetData sheetId="17690"/>
      <sheetData sheetId="17691"/>
      <sheetData sheetId="17692"/>
      <sheetData sheetId="17693"/>
      <sheetData sheetId="17694"/>
      <sheetData sheetId="17695"/>
      <sheetData sheetId="17696"/>
      <sheetData sheetId="17697"/>
      <sheetData sheetId="17698"/>
      <sheetData sheetId="17699"/>
      <sheetData sheetId="17700"/>
      <sheetData sheetId="17701"/>
      <sheetData sheetId="17702"/>
      <sheetData sheetId="17703"/>
      <sheetData sheetId="17704"/>
      <sheetData sheetId="17705"/>
      <sheetData sheetId="17706"/>
      <sheetData sheetId="17707"/>
      <sheetData sheetId="17708"/>
      <sheetData sheetId="17709"/>
      <sheetData sheetId="17710"/>
      <sheetData sheetId="17711"/>
      <sheetData sheetId="17712"/>
      <sheetData sheetId="17713"/>
      <sheetData sheetId="17714"/>
      <sheetData sheetId="17715"/>
      <sheetData sheetId="17716"/>
      <sheetData sheetId="17717"/>
      <sheetData sheetId="17718"/>
      <sheetData sheetId="17719"/>
      <sheetData sheetId="17720"/>
      <sheetData sheetId="17721"/>
      <sheetData sheetId="17722"/>
      <sheetData sheetId="17723"/>
      <sheetData sheetId="17724"/>
      <sheetData sheetId="17725"/>
      <sheetData sheetId="17726"/>
      <sheetData sheetId="17727"/>
      <sheetData sheetId="17728"/>
      <sheetData sheetId="17729"/>
      <sheetData sheetId="17730"/>
      <sheetData sheetId="17731"/>
      <sheetData sheetId="17732"/>
      <sheetData sheetId="17733"/>
      <sheetData sheetId="17734"/>
      <sheetData sheetId="17735"/>
      <sheetData sheetId="17736"/>
      <sheetData sheetId="17737"/>
      <sheetData sheetId="17738"/>
      <sheetData sheetId="17739"/>
      <sheetData sheetId="17740"/>
      <sheetData sheetId="17741"/>
      <sheetData sheetId="17742"/>
      <sheetData sheetId="17743"/>
      <sheetData sheetId="17744"/>
      <sheetData sheetId="17745"/>
      <sheetData sheetId="17746"/>
      <sheetData sheetId="17747"/>
      <sheetData sheetId="17748"/>
      <sheetData sheetId="17749"/>
      <sheetData sheetId="17750"/>
      <sheetData sheetId="17751"/>
      <sheetData sheetId="17752"/>
      <sheetData sheetId="17753"/>
      <sheetData sheetId="17754"/>
      <sheetData sheetId="17755"/>
      <sheetData sheetId="17756"/>
      <sheetData sheetId="17757"/>
      <sheetData sheetId="17758"/>
      <sheetData sheetId="17759"/>
      <sheetData sheetId="17760"/>
      <sheetData sheetId="17761"/>
      <sheetData sheetId="17762"/>
      <sheetData sheetId="17763"/>
      <sheetData sheetId="17764"/>
      <sheetData sheetId="17765"/>
      <sheetData sheetId="17766"/>
      <sheetData sheetId="17767"/>
      <sheetData sheetId="17768"/>
      <sheetData sheetId="17769"/>
      <sheetData sheetId="17770"/>
      <sheetData sheetId="17771"/>
      <sheetData sheetId="17772"/>
      <sheetData sheetId="17773"/>
      <sheetData sheetId="17774"/>
      <sheetData sheetId="17775"/>
      <sheetData sheetId="17776"/>
      <sheetData sheetId="17777"/>
      <sheetData sheetId="17778"/>
      <sheetData sheetId="17779"/>
      <sheetData sheetId="17780"/>
      <sheetData sheetId="17781"/>
      <sheetData sheetId="17782"/>
      <sheetData sheetId="17783"/>
      <sheetData sheetId="17784"/>
      <sheetData sheetId="17785"/>
      <sheetData sheetId="17786"/>
      <sheetData sheetId="17787"/>
      <sheetData sheetId="17788"/>
      <sheetData sheetId="17789"/>
      <sheetData sheetId="17790"/>
      <sheetData sheetId="17791"/>
      <sheetData sheetId="17792"/>
      <sheetData sheetId="17793"/>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sheetData sheetId="17806"/>
      <sheetData sheetId="17807"/>
      <sheetData sheetId="17808"/>
      <sheetData sheetId="17809"/>
      <sheetData sheetId="17810"/>
      <sheetData sheetId="17811"/>
      <sheetData sheetId="17812"/>
      <sheetData sheetId="17813"/>
      <sheetData sheetId="17814"/>
      <sheetData sheetId="17815"/>
      <sheetData sheetId="17816"/>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sheetData sheetId="17859"/>
      <sheetData sheetId="17860"/>
      <sheetData sheetId="17861"/>
      <sheetData sheetId="17862"/>
      <sheetData sheetId="17863"/>
      <sheetData sheetId="17864"/>
      <sheetData sheetId="17865"/>
      <sheetData sheetId="17866"/>
      <sheetData sheetId="17867"/>
      <sheetData sheetId="17868"/>
      <sheetData sheetId="17869"/>
      <sheetData sheetId="17870"/>
      <sheetData sheetId="17871"/>
      <sheetData sheetId="17872"/>
      <sheetData sheetId="17873"/>
      <sheetData sheetId="17874"/>
      <sheetData sheetId="17875"/>
      <sheetData sheetId="17876"/>
      <sheetData sheetId="17877"/>
      <sheetData sheetId="17878"/>
      <sheetData sheetId="17879"/>
      <sheetData sheetId="17880"/>
      <sheetData sheetId="17881"/>
      <sheetData sheetId="17882"/>
      <sheetData sheetId="17883" refreshError="1"/>
      <sheetData sheetId="17884"/>
      <sheetData sheetId="17885"/>
      <sheetData sheetId="17886"/>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sheetData sheetId="17907"/>
      <sheetData sheetId="17908"/>
      <sheetData sheetId="17909"/>
      <sheetData sheetId="17910"/>
      <sheetData sheetId="17911"/>
      <sheetData sheetId="17912"/>
      <sheetData sheetId="17913"/>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sheetData sheetId="17922"/>
      <sheetData sheetId="17923"/>
      <sheetData sheetId="17924"/>
      <sheetData sheetId="17925"/>
      <sheetData sheetId="17926"/>
      <sheetData sheetId="17927"/>
      <sheetData sheetId="17928"/>
      <sheetData sheetId="17929"/>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refreshError="1"/>
      <sheetData sheetId="19368" refreshError="1"/>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refreshError="1"/>
      <sheetData sheetId="19669" refreshError="1"/>
      <sheetData sheetId="19670" refreshError="1"/>
      <sheetData sheetId="19671" refreshError="1"/>
      <sheetData sheetId="19672" refreshError="1"/>
      <sheetData sheetId="19673" refreshError="1"/>
      <sheetData sheetId="19674" refreshError="1"/>
      <sheetData sheetId="19675" refreshError="1"/>
      <sheetData sheetId="19676" refreshError="1"/>
      <sheetData sheetId="19677" refreshError="1"/>
      <sheetData sheetId="19678" refreshError="1"/>
      <sheetData sheetId="19679" refreshError="1"/>
      <sheetData sheetId="19680" refreshError="1"/>
      <sheetData sheetId="19681" refreshError="1"/>
      <sheetData sheetId="19682" refreshError="1"/>
      <sheetData sheetId="19683" refreshError="1"/>
      <sheetData sheetId="19684" refreshError="1"/>
      <sheetData sheetId="19685" refreshError="1"/>
      <sheetData sheetId="19686" refreshError="1"/>
      <sheetData sheetId="19687" refreshError="1"/>
      <sheetData sheetId="19688" refreshError="1"/>
      <sheetData sheetId="19689" refreshError="1"/>
      <sheetData sheetId="19690" refreshError="1"/>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refreshError="1"/>
      <sheetData sheetId="19799"/>
      <sheetData sheetId="19800" refreshError="1"/>
      <sheetData sheetId="19801" refreshError="1"/>
      <sheetData sheetId="19802" refreshError="1"/>
      <sheetData sheetId="19803" refreshError="1"/>
      <sheetData sheetId="19804" refreshError="1"/>
      <sheetData sheetId="19805" refreshError="1"/>
      <sheetData sheetId="19806" refreshError="1"/>
      <sheetData sheetId="19807" refreshError="1"/>
      <sheetData sheetId="19808" refreshError="1"/>
      <sheetData sheetId="19809" refreshError="1"/>
      <sheetData sheetId="19810" refreshError="1"/>
      <sheetData sheetId="19811" refreshError="1"/>
      <sheetData sheetId="19812" refreshError="1"/>
      <sheetData sheetId="19813" refreshError="1"/>
      <sheetData sheetId="19814" refreshError="1"/>
      <sheetData sheetId="19815" refreshError="1"/>
      <sheetData sheetId="19816" refreshError="1"/>
      <sheetData sheetId="19817" refreshError="1"/>
      <sheetData sheetId="19818" refreshError="1"/>
      <sheetData sheetId="19819" refreshError="1"/>
      <sheetData sheetId="19820" refreshError="1"/>
      <sheetData sheetId="19821" refreshError="1"/>
      <sheetData sheetId="19822" refreshError="1"/>
      <sheetData sheetId="19823"/>
      <sheetData sheetId="19824"/>
      <sheetData sheetId="19825"/>
      <sheetData sheetId="19826" refreshError="1"/>
      <sheetData sheetId="19827" refreshError="1"/>
      <sheetData sheetId="19828" refreshError="1"/>
      <sheetData sheetId="19829" refreshError="1"/>
      <sheetData sheetId="19830" refreshError="1"/>
      <sheetData sheetId="19831" refreshError="1"/>
      <sheetData sheetId="19832" refreshError="1"/>
      <sheetData sheetId="19833" refreshError="1"/>
      <sheetData sheetId="19834" refreshError="1"/>
      <sheetData sheetId="19835" refreshError="1"/>
      <sheetData sheetId="19836"/>
      <sheetData sheetId="19837" refreshError="1"/>
      <sheetData sheetId="19838" refreshError="1"/>
      <sheetData sheetId="19839" refreshError="1"/>
      <sheetData sheetId="19840" refreshError="1"/>
      <sheetData sheetId="19841" refreshError="1"/>
      <sheetData sheetId="19842" refreshError="1"/>
      <sheetData sheetId="19843" refreshError="1"/>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refreshError="1"/>
      <sheetData sheetId="19896" refreshError="1"/>
      <sheetData sheetId="19897" refreshError="1"/>
      <sheetData sheetId="19898" refreshError="1"/>
      <sheetData sheetId="19899" refreshError="1"/>
      <sheetData sheetId="19900" refreshError="1"/>
      <sheetData sheetId="19901" refreshError="1"/>
      <sheetData sheetId="19902" refreshError="1"/>
      <sheetData sheetId="19903" refreshError="1"/>
      <sheetData sheetId="19904" refreshError="1"/>
      <sheetData sheetId="19905" refreshError="1"/>
      <sheetData sheetId="19906" refreshError="1"/>
      <sheetData sheetId="19907" refreshError="1"/>
      <sheetData sheetId="19908" refreshError="1"/>
      <sheetData sheetId="19909" refreshError="1"/>
      <sheetData sheetId="19910" refreshError="1"/>
      <sheetData sheetId="19911" refreshError="1"/>
      <sheetData sheetId="19912" refreshError="1"/>
      <sheetData sheetId="19913" refreshError="1"/>
      <sheetData sheetId="19914" refreshError="1"/>
      <sheetData sheetId="19915" refreshError="1"/>
      <sheetData sheetId="19916" refreshError="1"/>
      <sheetData sheetId="19917" refreshError="1"/>
      <sheetData sheetId="19918" refreshError="1"/>
      <sheetData sheetId="19919"/>
      <sheetData sheetId="19920" refreshError="1"/>
      <sheetData sheetId="19921" refreshError="1"/>
      <sheetData sheetId="19922" refreshError="1"/>
      <sheetData sheetId="19923" refreshError="1"/>
      <sheetData sheetId="19924" refreshError="1"/>
      <sheetData sheetId="19925" refreshError="1"/>
      <sheetData sheetId="19926"/>
      <sheetData sheetId="19927"/>
      <sheetData sheetId="19928"/>
      <sheetData sheetId="19929" refreshError="1"/>
      <sheetData sheetId="19930" refreshError="1"/>
      <sheetData sheetId="19931" refreshError="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refreshError="1"/>
      <sheetData sheetId="19958"/>
      <sheetData sheetId="19959"/>
      <sheetData sheetId="19960"/>
      <sheetData sheetId="19961"/>
      <sheetData sheetId="19962"/>
      <sheetData sheetId="19963"/>
      <sheetData sheetId="19964"/>
      <sheetData sheetId="19965"/>
      <sheetData sheetId="19966"/>
      <sheetData sheetId="19967"/>
      <sheetData sheetId="19968" refreshError="1"/>
      <sheetData sheetId="19969"/>
      <sheetData sheetId="19970"/>
      <sheetData sheetId="19971"/>
      <sheetData sheetId="19972"/>
      <sheetData sheetId="19973"/>
      <sheetData sheetId="19974"/>
      <sheetData sheetId="19975"/>
      <sheetData sheetId="19976"/>
      <sheetData sheetId="19977"/>
      <sheetData sheetId="19978"/>
      <sheetData sheetId="19979" refreshError="1"/>
      <sheetData sheetId="19980" refreshError="1"/>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refreshError="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refreshError="1"/>
      <sheetData sheetId="20066"/>
      <sheetData sheetId="20067"/>
      <sheetData sheetId="20068"/>
      <sheetData sheetId="20069" refreshError="1"/>
      <sheetData sheetId="20070" refreshError="1"/>
      <sheetData sheetId="20071" refreshError="1"/>
      <sheetData sheetId="20072" refreshError="1"/>
      <sheetData sheetId="20073" refreshError="1"/>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refreshError="1"/>
      <sheetData sheetId="20150" refreshError="1"/>
      <sheetData sheetId="20151" refreshError="1"/>
      <sheetData sheetId="20152" refreshError="1"/>
      <sheetData sheetId="20153" refreshError="1"/>
      <sheetData sheetId="20154" refreshError="1"/>
      <sheetData sheetId="20155" refreshError="1"/>
      <sheetData sheetId="20156" refreshError="1"/>
      <sheetData sheetId="20157" refreshError="1"/>
      <sheetData sheetId="20158" refreshError="1"/>
      <sheetData sheetId="20159" refreshError="1"/>
      <sheetData sheetId="20160" refreshError="1"/>
      <sheetData sheetId="20161" refreshError="1"/>
      <sheetData sheetId="20162" refreshError="1"/>
      <sheetData sheetId="20163" refreshError="1"/>
      <sheetData sheetId="20164" refreshError="1"/>
      <sheetData sheetId="20165" refreshError="1"/>
      <sheetData sheetId="20166" refreshError="1"/>
      <sheetData sheetId="20167" refreshError="1"/>
      <sheetData sheetId="20168" refreshError="1"/>
      <sheetData sheetId="20169" refreshError="1"/>
      <sheetData sheetId="20170" refreshError="1"/>
      <sheetData sheetId="20171" refreshError="1"/>
      <sheetData sheetId="20172" refreshError="1"/>
      <sheetData sheetId="20173" refreshError="1"/>
      <sheetData sheetId="20174" refreshError="1"/>
      <sheetData sheetId="20175" refreshError="1"/>
      <sheetData sheetId="20176" refreshError="1"/>
      <sheetData sheetId="20177" refreshError="1"/>
      <sheetData sheetId="20178" refreshError="1"/>
      <sheetData sheetId="20179" refreshError="1"/>
      <sheetData sheetId="20180" refreshError="1"/>
      <sheetData sheetId="20181" refreshError="1"/>
      <sheetData sheetId="20182" refreshError="1"/>
      <sheetData sheetId="20183" refreshError="1"/>
      <sheetData sheetId="20184" refreshError="1"/>
      <sheetData sheetId="20185" refreshError="1"/>
      <sheetData sheetId="20186" refreshError="1"/>
      <sheetData sheetId="20187" refreshError="1"/>
      <sheetData sheetId="20188"/>
      <sheetData sheetId="20189"/>
      <sheetData sheetId="20190"/>
      <sheetData sheetId="20191" refreshError="1"/>
      <sheetData sheetId="20192" refreshError="1"/>
      <sheetData sheetId="20193" refreshError="1"/>
      <sheetData sheetId="20194" refreshError="1"/>
      <sheetData sheetId="20195" refreshError="1"/>
      <sheetData sheetId="20196" refreshError="1"/>
      <sheetData sheetId="20197"/>
      <sheetData sheetId="20198"/>
      <sheetData sheetId="20199"/>
      <sheetData sheetId="20200"/>
      <sheetData sheetId="20201" refreshError="1"/>
      <sheetData sheetId="20202"/>
      <sheetData sheetId="20203"/>
      <sheetData sheetId="20204"/>
      <sheetData sheetId="20205"/>
      <sheetData sheetId="20206" refreshError="1"/>
      <sheetData sheetId="20207"/>
      <sheetData sheetId="20208" refreshError="1"/>
      <sheetData sheetId="20209"/>
      <sheetData sheetId="20210" refreshError="1"/>
      <sheetData sheetId="20211"/>
      <sheetData sheetId="20212"/>
      <sheetData sheetId="20213" refreshError="1"/>
      <sheetData sheetId="20214"/>
      <sheetData sheetId="20215"/>
      <sheetData sheetId="20216"/>
      <sheetData sheetId="20217"/>
      <sheetData sheetId="20218"/>
      <sheetData sheetId="20219"/>
      <sheetData sheetId="20220" refreshError="1"/>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refreshError="1"/>
      <sheetData sheetId="20235" refreshError="1"/>
      <sheetData sheetId="20236"/>
      <sheetData sheetId="20237"/>
      <sheetData sheetId="20238"/>
      <sheetData sheetId="20239"/>
      <sheetData sheetId="20240" refreshError="1"/>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refreshError="1"/>
      <sheetData sheetId="20263"/>
      <sheetData sheetId="20264"/>
      <sheetData sheetId="20265"/>
      <sheetData sheetId="20266"/>
      <sheetData sheetId="20267"/>
      <sheetData sheetId="20268"/>
      <sheetData sheetId="20269"/>
      <sheetData sheetId="20270"/>
      <sheetData sheetId="20271" refreshError="1"/>
      <sheetData sheetId="20272"/>
      <sheetData sheetId="20273"/>
      <sheetData sheetId="20274"/>
      <sheetData sheetId="20275"/>
      <sheetData sheetId="20276"/>
      <sheetData sheetId="20277"/>
      <sheetData sheetId="20278"/>
      <sheetData sheetId="20279"/>
      <sheetData sheetId="20280"/>
      <sheetData sheetId="20281" refreshError="1"/>
      <sheetData sheetId="20282"/>
      <sheetData sheetId="20283"/>
      <sheetData sheetId="20284"/>
      <sheetData sheetId="20285"/>
      <sheetData sheetId="20286"/>
      <sheetData sheetId="20287"/>
      <sheetData sheetId="20288"/>
      <sheetData sheetId="20289"/>
      <sheetData sheetId="20290"/>
      <sheetData sheetId="20291"/>
      <sheetData sheetId="20292" refreshError="1"/>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refreshError="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refreshError="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refreshError="1"/>
      <sheetData sheetId="20345" refreshError="1"/>
      <sheetData sheetId="20346" refreshError="1"/>
      <sheetData sheetId="20347" refreshError="1"/>
      <sheetData sheetId="20348"/>
      <sheetData sheetId="20349"/>
      <sheetData sheetId="20350"/>
      <sheetData sheetId="20351"/>
      <sheetData sheetId="20352" refreshError="1"/>
      <sheetData sheetId="20353" refreshError="1"/>
      <sheetData sheetId="20354" refreshError="1"/>
      <sheetData sheetId="20355"/>
      <sheetData sheetId="20356"/>
      <sheetData sheetId="20357"/>
      <sheetData sheetId="20358"/>
      <sheetData sheetId="20359"/>
      <sheetData sheetId="20360"/>
      <sheetData sheetId="20361"/>
      <sheetData sheetId="20362"/>
      <sheetData sheetId="20363"/>
      <sheetData sheetId="20364" refreshError="1"/>
      <sheetData sheetId="20365" refreshError="1"/>
      <sheetData sheetId="20366" refreshError="1"/>
      <sheetData sheetId="20367" refreshError="1"/>
      <sheetData sheetId="20368" refreshError="1"/>
      <sheetData sheetId="20369" refreshError="1"/>
      <sheetData sheetId="20370" refreshError="1"/>
      <sheetData sheetId="20371" refreshError="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refreshError="1"/>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refreshError="1"/>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refreshError="1"/>
      <sheetData sheetId="20467" refreshError="1"/>
      <sheetData sheetId="20468" refreshError="1"/>
      <sheetData sheetId="20469" refreshError="1"/>
      <sheetData sheetId="20470" refreshError="1"/>
      <sheetData sheetId="20471" refreshError="1"/>
      <sheetData sheetId="20472" refreshError="1"/>
      <sheetData sheetId="20473" refreshError="1"/>
      <sheetData sheetId="20474" refreshError="1"/>
      <sheetData sheetId="20475" refreshError="1"/>
      <sheetData sheetId="20476" refreshError="1"/>
      <sheetData sheetId="20477" refreshError="1"/>
      <sheetData sheetId="20478" refreshError="1"/>
      <sheetData sheetId="20479" refreshError="1"/>
      <sheetData sheetId="20480" refreshError="1"/>
      <sheetData sheetId="20481" refreshError="1"/>
      <sheetData sheetId="20482" refreshError="1"/>
      <sheetData sheetId="20483" refreshError="1"/>
      <sheetData sheetId="20484" refreshError="1"/>
      <sheetData sheetId="20485" refreshError="1"/>
      <sheetData sheetId="20486" refreshError="1"/>
      <sheetData sheetId="20487" refreshError="1"/>
      <sheetData sheetId="20488" refreshError="1"/>
      <sheetData sheetId="20489" refreshError="1"/>
      <sheetData sheetId="20490" refreshError="1"/>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refreshError="1"/>
      <sheetData sheetId="20539" refreshError="1"/>
      <sheetData sheetId="20540"/>
      <sheetData sheetId="20541" refreshError="1"/>
      <sheetData sheetId="20542" refreshError="1"/>
      <sheetData sheetId="20543" refreshError="1"/>
      <sheetData sheetId="20544"/>
      <sheetData sheetId="20545"/>
      <sheetData sheetId="20546"/>
      <sheetData sheetId="20547"/>
      <sheetData sheetId="20548"/>
      <sheetData sheetId="20549"/>
      <sheetData sheetId="20550" refreshError="1"/>
      <sheetData sheetId="20551" refreshError="1"/>
      <sheetData sheetId="20552" refreshError="1"/>
      <sheetData sheetId="20553" refreshError="1"/>
      <sheetData sheetId="20554" refreshError="1"/>
      <sheetData sheetId="20555" refreshError="1"/>
      <sheetData sheetId="20556" refreshError="1"/>
      <sheetData sheetId="20557" refreshError="1"/>
      <sheetData sheetId="20558" refreshError="1"/>
      <sheetData sheetId="20559" refreshError="1"/>
      <sheetData sheetId="20560" refreshError="1"/>
      <sheetData sheetId="20561" refreshError="1"/>
      <sheetData sheetId="20562" refreshError="1"/>
      <sheetData sheetId="20563" refreshError="1"/>
      <sheetData sheetId="20564" refreshError="1"/>
      <sheetData sheetId="20565" refreshError="1"/>
      <sheetData sheetId="20566" refreshError="1"/>
      <sheetData sheetId="20567" refreshError="1"/>
      <sheetData sheetId="20568" refreshError="1"/>
      <sheetData sheetId="20569" refreshError="1"/>
      <sheetData sheetId="20570" refreshError="1"/>
      <sheetData sheetId="20571" refreshError="1"/>
      <sheetData sheetId="20572" refreshError="1"/>
      <sheetData sheetId="20573" refreshError="1"/>
      <sheetData sheetId="20574" refreshError="1"/>
      <sheetData sheetId="20575" refreshError="1"/>
      <sheetData sheetId="20576" refreshError="1"/>
      <sheetData sheetId="20577" refreshError="1"/>
      <sheetData sheetId="20578" refreshError="1"/>
      <sheetData sheetId="20579" refreshError="1"/>
      <sheetData sheetId="20580" refreshError="1"/>
      <sheetData sheetId="20581" refreshError="1"/>
      <sheetData sheetId="20582" refreshError="1"/>
      <sheetData sheetId="20583" refreshError="1"/>
      <sheetData sheetId="20584" refreshError="1"/>
      <sheetData sheetId="20585" refreshError="1"/>
      <sheetData sheetId="20586" refreshError="1"/>
      <sheetData sheetId="20587" refreshError="1"/>
      <sheetData sheetId="20588" refreshError="1"/>
      <sheetData sheetId="20589" refreshError="1"/>
      <sheetData sheetId="20590" refreshError="1"/>
      <sheetData sheetId="20591" refreshError="1"/>
      <sheetData sheetId="20592" refreshError="1"/>
      <sheetData sheetId="20593" refreshError="1"/>
      <sheetData sheetId="20594" refreshError="1"/>
      <sheetData sheetId="20595" refreshError="1"/>
      <sheetData sheetId="20596" refreshError="1"/>
      <sheetData sheetId="20597" refreshError="1"/>
      <sheetData sheetId="20598" refreshError="1"/>
      <sheetData sheetId="20599" refreshError="1"/>
      <sheetData sheetId="20600" refreshError="1"/>
      <sheetData sheetId="20601" refreshError="1"/>
      <sheetData sheetId="20602" refreshError="1"/>
      <sheetData sheetId="20603" refreshError="1"/>
      <sheetData sheetId="20604" refreshError="1"/>
      <sheetData sheetId="20605" refreshError="1"/>
      <sheetData sheetId="20606" refreshError="1"/>
      <sheetData sheetId="20607" refreshError="1"/>
      <sheetData sheetId="20608" refreshError="1"/>
      <sheetData sheetId="20609" refreshError="1"/>
      <sheetData sheetId="20610" refreshError="1"/>
      <sheetData sheetId="20611" refreshError="1"/>
      <sheetData sheetId="20612" refreshError="1"/>
      <sheetData sheetId="20613" refreshError="1"/>
      <sheetData sheetId="20614" refreshError="1"/>
      <sheetData sheetId="20615" refreshError="1"/>
      <sheetData sheetId="20616" refreshError="1"/>
      <sheetData sheetId="20617" refreshError="1"/>
      <sheetData sheetId="20618" refreshError="1"/>
      <sheetData sheetId="20619" refreshError="1"/>
      <sheetData sheetId="20620" refreshError="1"/>
      <sheetData sheetId="20621" refreshError="1"/>
      <sheetData sheetId="20622" refreshError="1"/>
      <sheetData sheetId="20623" refreshError="1"/>
      <sheetData sheetId="20624" refreshError="1"/>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refreshError="1"/>
      <sheetData sheetId="20641" refreshError="1"/>
      <sheetData sheetId="20642" refreshError="1"/>
      <sheetData sheetId="20643" refreshError="1"/>
      <sheetData sheetId="20644" refreshError="1"/>
      <sheetData sheetId="20645" refreshError="1"/>
      <sheetData sheetId="20646"/>
      <sheetData sheetId="20647" refreshError="1"/>
      <sheetData sheetId="20648" refreshError="1"/>
      <sheetData sheetId="20649" refreshError="1"/>
      <sheetData sheetId="20650" refreshError="1"/>
      <sheetData sheetId="20651" refreshError="1"/>
      <sheetData sheetId="20652" refreshError="1"/>
      <sheetData sheetId="20653" refreshError="1"/>
      <sheetData sheetId="20654" refreshError="1"/>
      <sheetData sheetId="20655"/>
      <sheetData sheetId="20656"/>
      <sheetData sheetId="20657" refreshError="1"/>
      <sheetData sheetId="20658" refreshError="1"/>
      <sheetData sheetId="20659" refreshError="1"/>
      <sheetData sheetId="20660" refreshError="1"/>
      <sheetData sheetId="20661" refreshError="1"/>
      <sheetData sheetId="20662" refreshError="1"/>
      <sheetData sheetId="20663" refreshError="1"/>
      <sheetData sheetId="20664" refreshError="1"/>
      <sheetData sheetId="20665" refreshError="1"/>
      <sheetData sheetId="20666" refreshError="1"/>
      <sheetData sheetId="20667" refreshError="1"/>
      <sheetData sheetId="20668" refreshError="1"/>
      <sheetData sheetId="20669" refreshError="1"/>
      <sheetData sheetId="20670" refreshError="1"/>
      <sheetData sheetId="20671" refreshError="1"/>
      <sheetData sheetId="20672" refreshError="1"/>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refreshError="1"/>
      <sheetData sheetId="20719" refreshError="1"/>
      <sheetData sheetId="20720" refreshError="1"/>
      <sheetData sheetId="20721"/>
      <sheetData sheetId="20722"/>
      <sheetData sheetId="20723"/>
      <sheetData sheetId="20724" refreshError="1"/>
      <sheetData sheetId="20725"/>
      <sheetData sheetId="20726" refreshError="1"/>
      <sheetData sheetId="20727" refreshError="1"/>
      <sheetData sheetId="20728"/>
      <sheetData sheetId="20729"/>
      <sheetData sheetId="20730"/>
      <sheetData sheetId="20731"/>
      <sheetData sheetId="20732"/>
      <sheetData sheetId="20733"/>
      <sheetData sheetId="20734" refreshError="1"/>
      <sheetData sheetId="20735" refreshError="1"/>
      <sheetData sheetId="20736"/>
      <sheetData sheetId="20737" refreshError="1"/>
      <sheetData sheetId="20738" refreshError="1"/>
      <sheetData sheetId="20739" refreshError="1"/>
      <sheetData sheetId="20740" refreshError="1"/>
      <sheetData sheetId="20741" refreshError="1"/>
      <sheetData sheetId="20742" refreshError="1"/>
      <sheetData sheetId="20743" refreshError="1"/>
      <sheetData sheetId="20744" refreshError="1"/>
      <sheetData sheetId="20745" refreshError="1"/>
      <sheetData sheetId="20746" refreshError="1"/>
      <sheetData sheetId="20747" refreshError="1"/>
      <sheetData sheetId="20748" refreshError="1"/>
      <sheetData sheetId="20749" refreshError="1"/>
      <sheetData sheetId="20750" refreshError="1"/>
      <sheetData sheetId="20751" refreshError="1"/>
      <sheetData sheetId="20752" refreshError="1"/>
      <sheetData sheetId="20753" refreshError="1"/>
      <sheetData sheetId="20754" refreshError="1"/>
      <sheetData sheetId="20755" refreshError="1"/>
      <sheetData sheetId="20756" refreshError="1"/>
      <sheetData sheetId="20757" refreshError="1"/>
      <sheetData sheetId="20758" refreshError="1"/>
      <sheetData sheetId="20759" refreshError="1"/>
      <sheetData sheetId="20760" refreshError="1"/>
      <sheetData sheetId="20761" refreshError="1"/>
      <sheetData sheetId="20762" refreshError="1"/>
      <sheetData sheetId="20763" refreshError="1"/>
      <sheetData sheetId="20764" refreshError="1"/>
      <sheetData sheetId="20765" refreshError="1"/>
      <sheetData sheetId="20766" refreshError="1"/>
      <sheetData sheetId="20767" refreshError="1"/>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refreshError="1"/>
      <sheetData sheetId="20849" refreshError="1"/>
      <sheetData sheetId="20850" refreshError="1"/>
      <sheetData sheetId="20851" refreshError="1"/>
      <sheetData sheetId="20852" refreshError="1"/>
      <sheetData sheetId="20853" refreshError="1"/>
      <sheetData sheetId="20854" refreshError="1"/>
      <sheetData sheetId="20855" refreshError="1"/>
      <sheetData sheetId="20856" refreshError="1"/>
      <sheetData sheetId="20857" refreshError="1"/>
      <sheetData sheetId="20858" refreshError="1"/>
      <sheetData sheetId="20859" refreshError="1"/>
      <sheetData sheetId="20860" refreshError="1"/>
      <sheetData sheetId="20861" refreshError="1"/>
      <sheetData sheetId="20862" refreshError="1"/>
      <sheetData sheetId="20863" refreshError="1"/>
      <sheetData sheetId="20864" refreshError="1"/>
      <sheetData sheetId="20865" refreshError="1"/>
      <sheetData sheetId="20866" refreshError="1"/>
      <sheetData sheetId="20867" refreshError="1"/>
      <sheetData sheetId="20868" refreshError="1"/>
      <sheetData sheetId="20869" refreshError="1"/>
      <sheetData sheetId="20870" refreshError="1"/>
      <sheetData sheetId="20871" refreshError="1"/>
      <sheetData sheetId="20872" refreshError="1"/>
      <sheetData sheetId="20873" refreshError="1"/>
      <sheetData sheetId="20874" refreshError="1"/>
      <sheetData sheetId="20875" refreshError="1"/>
      <sheetData sheetId="20876" refreshError="1"/>
      <sheetData sheetId="20877" refreshError="1"/>
      <sheetData sheetId="20878" refreshError="1"/>
      <sheetData sheetId="20879" refreshError="1"/>
      <sheetData sheetId="20880" refreshError="1"/>
      <sheetData sheetId="20881" refreshError="1"/>
      <sheetData sheetId="20882" refreshError="1"/>
      <sheetData sheetId="20883" refreshError="1"/>
      <sheetData sheetId="20884" refreshError="1"/>
      <sheetData sheetId="20885" refreshError="1"/>
      <sheetData sheetId="20886" refreshError="1"/>
      <sheetData sheetId="20887" refreshError="1"/>
      <sheetData sheetId="20888" refreshError="1"/>
      <sheetData sheetId="20889" refreshError="1"/>
      <sheetData sheetId="20890" refreshError="1"/>
      <sheetData sheetId="20891" refreshError="1"/>
      <sheetData sheetId="20892" refreshError="1"/>
      <sheetData sheetId="20893" refreshError="1"/>
      <sheetData sheetId="20894" refreshError="1"/>
      <sheetData sheetId="20895" refreshError="1"/>
      <sheetData sheetId="20896" refreshError="1"/>
      <sheetData sheetId="20897" refreshError="1"/>
      <sheetData sheetId="20898" refreshError="1"/>
      <sheetData sheetId="20899" refreshError="1"/>
      <sheetData sheetId="20900" refreshError="1"/>
      <sheetData sheetId="20901" refreshError="1"/>
      <sheetData sheetId="20902" refreshError="1"/>
      <sheetData sheetId="20903" refreshError="1"/>
      <sheetData sheetId="20904" refreshError="1"/>
      <sheetData sheetId="20905" refreshError="1"/>
      <sheetData sheetId="20906" refreshError="1"/>
      <sheetData sheetId="20907" refreshError="1"/>
      <sheetData sheetId="20908" refreshError="1"/>
      <sheetData sheetId="20909" refreshError="1"/>
      <sheetData sheetId="20910" refreshError="1"/>
      <sheetData sheetId="20911" refreshError="1"/>
      <sheetData sheetId="20912" refreshError="1"/>
      <sheetData sheetId="20913" refreshError="1"/>
      <sheetData sheetId="20914" refreshError="1"/>
      <sheetData sheetId="20915" refreshError="1"/>
      <sheetData sheetId="20916" refreshError="1"/>
      <sheetData sheetId="20917" refreshError="1"/>
      <sheetData sheetId="20918" refreshError="1"/>
      <sheetData sheetId="20919" refreshError="1"/>
      <sheetData sheetId="20920" refreshError="1"/>
      <sheetData sheetId="20921" refreshError="1"/>
      <sheetData sheetId="20922" refreshError="1"/>
      <sheetData sheetId="20923" refreshError="1"/>
      <sheetData sheetId="20924" refreshError="1"/>
      <sheetData sheetId="20925" refreshError="1"/>
      <sheetData sheetId="20926" refreshError="1"/>
      <sheetData sheetId="20927" refreshError="1"/>
      <sheetData sheetId="20928" refreshError="1"/>
      <sheetData sheetId="20929" refreshError="1"/>
      <sheetData sheetId="20930" refreshError="1"/>
      <sheetData sheetId="20931" refreshError="1"/>
      <sheetData sheetId="20932" refreshError="1"/>
      <sheetData sheetId="20933" refreshError="1"/>
      <sheetData sheetId="20934" refreshError="1"/>
      <sheetData sheetId="20935" refreshError="1"/>
      <sheetData sheetId="20936" refreshError="1"/>
      <sheetData sheetId="20937" refreshError="1"/>
      <sheetData sheetId="20938" refreshError="1"/>
      <sheetData sheetId="20939" refreshError="1"/>
      <sheetData sheetId="20940" refreshError="1"/>
      <sheetData sheetId="20941" refreshError="1"/>
      <sheetData sheetId="20942" refreshError="1"/>
      <sheetData sheetId="20943" refreshError="1"/>
      <sheetData sheetId="20944" refreshError="1"/>
      <sheetData sheetId="20945" refreshError="1"/>
      <sheetData sheetId="20946" refreshError="1"/>
      <sheetData sheetId="20947" refreshError="1"/>
      <sheetData sheetId="20948" refreshError="1"/>
      <sheetData sheetId="20949" refreshError="1"/>
      <sheetData sheetId="20950" refreshError="1"/>
      <sheetData sheetId="20951" refreshError="1"/>
      <sheetData sheetId="20952" refreshError="1"/>
      <sheetData sheetId="20953" refreshError="1"/>
      <sheetData sheetId="20954" refreshError="1"/>
      <sheetData sheetId="20955" refreshError="1"/>
      <sheetData sheetId="20956" refreshError="1"/>
      <sheetData sheetId="20957" refreshError="1"/>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refreshError="1"/>
      <sheetData sheetId="21031" refreshError="1"/>
      <sheetData sheetId="21032" refreshError="1"/>
      <sheetData sheetId="21033" refreshError="1"/>
      <sheetData sheetId="21034"/>
      <sheetData sheetId="21035"/>
      <sheetData sheetId="21036" refreshError="1"/>
      <sheetData sheetId="21037" refreshError="1"/>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refreshError="1"/>
      <sheetData sheetId="21054" refreshError="1"/>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refreshError="1"/>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refreshError="1"/>
      <sheetData sheetId="21147" refreshError="1"/>
      <sheetData sheetId="21148" refreshError="1"/>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refreshError="1"/>
      <sheetData sheetId="21203" refreshError="1"/>
      <sheetData sheetId="21204" refreshError="1"/>
      <sheetData sheetId="21205" refreshError="1"/>
      <sheetData sheetId="21206" refreshError="1"/>
      <sheetData sheetId="21207" refreshError="1"/>
      <sheetData sheetId="21208" refreshError="1"/>
      <sheetData sheetId="21209" refreshError="1"/>
      <sheetData sheetId="21210" refreshError="1"/>
      <sheetData sheetId="21211" refreshError="1"/>
      <sheetData sheetId="21212" refreshError="1"/>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refreshError="1"/>
      <sheetData sheetId="21304"/>
      <sheetData sheetId="21305"/>
      <sheetData sheetId="21306"/>
      <sheetData sheetId="21307"/>
      <sheetData sheetId="21308"/>
      <sheetData sheetId="21309"/>
      <sheetData sheetId="21310"/>
      <sheetData sheetId="21311"/>
      <sheetData sheetId="21312"/>
      <sheetData sheetId="21313"/>
      <sheetData sheetId="21314"/>
      <sheetData sheetId="21315" refreshError="1"/>
      <sheetData sheetId="21316"/>
      <sheetData sheetId="21317"/>
      <sheetData sheetId="21318"/>
      <sheetData sheetId="21319"/>
      <sheetData sheetId="21320"/>
      <sheetData sheetId="21321" refreshError="1"/>
      <sheetData sheetId="21322" refreshError="1"/>
      <sheetData sheetId="21323" refreshError="1"/>
      <sheetData sheetId="21324" refreshError="1"/>
      <sheetData sheetId="21325" refreshError="1"/>
      <sheetData sheetId="21326"/>
      <sheetData sheetId="21327"/>
      <sheetData sheetId="21328"/>
      <sheetData sheetId="21329"/>
      <sheetData sheetId="21330"/>
      <sheetData sheetId="21331"/>
      <sheetData sheetId="21332"/>
      <sheetData sheetId="21333"/>
      <sheetData sheetId="21334" refreshError="1"/>
      <sheetData sheetId="21335" refreshError="1"/>
      <sheetData sheetId="21336" refreshError="1"/>
      <sheetData sheetId="21337" refreshError="1"/>
      <sheetData sheetId="21338"/>
      <sheetData sheetId="21339"/>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 sheetId="21385" refreshError="1"/>
      <sheetData sheetId="21386" refreshError="1"/>
      <sheetData sheetId="21387" refreshError="1"/>
      <sheetData sheetId="21388" refreshError="1"/>
      <sheetData sheetId="21389" refreshError="1"/>
      <sheetData sheetId="21390" refreshError="1"/>
      <sheetData sheetId="21391" refreshError="1"/>
      <sheetData sheetId="21392" refreshError="1"/>
      <sheetData sheetId="21393" refreshError="1"/>
      <sheetData sheetId="21394" refreshError="1"/>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sheetData sheetId="21414"/>
      <sheetData sheetId="21415" refreshError="1"/>
      <sheetData sheetId="21416"/>
      <sheetData sheetId="21417" refreshError="1"/>
      <sheetData sheetId="21418"/>
      <sheetData sheetId="21419"/>
      <sheetData sheetId="21420"/>
      <sheetData sheetId="21421"/>
      <sheetData sheetId="21422"/>
      <sheetData sheetId="21423"/>
      <sheetData sheetId="21424"/>
      <sheetData sheetId="21425"/>
      <sheetData sheetId="21426"/>
      <sheetData sheetId="21427"/>
      <sheetData sheetId="21428"/>
      <sheetData sheetId="21429" refreshError="1"/>
      <sheetData sheetId="21430"/>
      <sheetData sheetId="21431"/>
      <sheetData sheetId="21432"/>
      <sheetData sheetId="21433"/>
      <sheetData sheetId="21434" refreshError="1"/>
      <sheetData sheetId="21435"/>
      <sheetData sheetId="21436"/>
      <sheetData sheetId="21437"/>
      <sheetData sheetId="21438"/>
      <sheetData sheetId="21439"/>
      <sheetData sheetId="21440"/>
      <sheetData sheetId="21441"/>
      <sheetData sheetId="21442"/>
      <sheetData sheetId="21443"/>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sheetData sheetId="21452"/>
      <sheetData sheetId="21453"/>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refreshError="1"/>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efreshError="1"/>
      <sheetData sheetId="21485" refreshError="1"/>
      <sheetData sheetId="21486" refreshError="1"/>
      <sheetData sheetId="21487" refreshError="1"/>
      <sheetData sheetId="21488" refreshError="1"/>
      <sheetData sheetId="21489" refreshError="1"/>
      <sheetData sheetId="21490" refreshError="1"/>
      <sheetData sheetId="21491" refreshError="1"/>
      <sheetData sheetId="21492" refreshError="1"/>
      <sheetData sheetId="21493" refreshError="1"/>
      <sheetData sheetId="21494" refreshError="1"/>
      <sheetData sheetId="21495" refreshError="1"/>
      <sheetData sheetId="21496" refreshError="1"/>
      <sheetData sheetId="21497" refreshError="1"/>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refreshError="1"/>
      <sheetData sheetId="21506" refreshError="1"/>
      <sheetData sheetId="21507" refreshError="1"/>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sheetData sheetId="21528" refreshError="1"/>
      <sheetData sheetId="21529"/>
      <sheetData sheetId="21530" refreshError="1"/>
      <sheetData sheetId="21531"/>
      <sheetData sheetId="21532"/>
      <sheetData sheetId="21533"/>
      <sheetData sheetId="21534"/>
      <sheetData sheetId="21535"/>
      <sheetData sheetId="21536"/>
      <sheetData sheetId="21537"/>
      <sheetData sheetId="21538"/>
      <sheetData sheetId="21539"/>
      <sheetData sheetId="21540"/>
      <sheetData sheetId="21541"/>
      <sheetData sheetId="21542" refreshError="1"/>
      <sheetData sheetId="21543"/>
      <sheetData sheetId="21544"/>
      <sheetData sheetId="21545"/>
      <sheetData sheetId="21546"/>
      <sheetData sheetId="21547" refreshError="1"/>
      <sheetData sheetId="21548"/>
      <sheetData sheetId="21549"/>
      <sheetData sheetId="21550"/>
      <sheetData sheetId="21551"/>
      <sheetData sheetId="21552"/>
      <sheetData sheetId="21553"/>
      <sheetData sheetId="21554"/>
      <sheetData sheetId="21555"/>
      <sheetData sheetId="21556"/>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sheetData sheetId="21565"/>
      <sheetData sheetId="21566"/>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refreshError="1"/>
      <sheetData sheetId="21593" refreshError="1"/>
      <sheetData sheetId="21594" refreshError="1"/>
      <sheetData sheetId="21595" refreshError="1"/>
      <sheetData sheetId="21596" refreshError="1"/>
      <sheetData sheetId="21597" refreshError="1"/>
      <sheetData sheetId="21598" refreshError="1"/>
      <sheetData sheetId="21599" refreshError="1"/>
      <sheetData sheetId="21600" refreshError="1"/>
      <sheetData sheetId="21601" refreshError="1"/>
      <sheetData sheetId="21602" refreshError="1"/>
      <sheetData sheetId="21603" refreshError="1"/>
      <sheetData sheetId="21604" refreshError="1"/>
      <sheetData sheetId="21605" refreshError="1"/>
      <sheetData sheetId="21606" refreshError="1"/>
      <sheetData sheetId="21607" refreshError="1"/>
      <sheetData sheetId="21608" refreshError="1"/>
      <sheetData sheetId="21609" refreshError="1"/>
      <sheetData sheetId="21610" refreshError="1"/>
      <sheetData sheetId="21611" refreshError="1"/>
      <sheetData sheetId="21612" refreshError="1"/>
      <sheetData sheetId="21613" refreshError="1"/>
      <sheetData sheetId="21614" refreshError="1"/>
      <sheetData sheetId="21615" refreshError="1"/>
      <sheetData sheetId="21616" refreshError="1"/>
      <sheetData sheetId="21617" refreshError="1"/>
      <sheetData sheetId="21618" refreshError="1"/>
      <sheetData sheetId="21619" refreshError="1"/>
      <sheetData sheetId="21620" refreshError="1"/>
      <sheetData sheetId="21621" refreshError="1"/>
      <sheetData sheetId="21622" refreshError="1"/>
      <sheetData sheetId="21623" refreshError="1"/>
      <sheetData sheetId="21624" refreshError="1"/>
      <sheetData sheetId="21625" refreshError="1"/>
      <sheetData sheetId="21626" refreshError="1"/>
      <sheetData sheetId="21627" refreshError="1"/>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efreshError="1"/>
      <sheetData sheetId="21636" refreshError="1"/>
      <sheetData sheetId="21637" refreshError="1"/>
      <sheetData sheetId="21638" refreshError="1"/>
      <sheetData sheetId="21639" refreshError="1"/>
      <sheetData sheetId="21640"/>
      <sheetData sheetId="21641" refreshError="1"/>
      <sheetData sheetId="21642"/>
      <sheetData sheetId="21643" refreshError="1"/>
      <sheetData sheetId="21644"/>
      <sheetData sheetId="21645"/>
      <sheetData sheetId="21646"/>
      <sheetData sheetId="21647"/>
      <sheetData sheetId="21648"/>
      <sheetData sheetId="21649"/>
      <sheetData sheetId="21650"/>
      <sheetData sheetId="21651"/>
      <sheetData sheetId="21652"/>
      <sheetData sheetId="21653"/>
      <sheetData sheetId="21654"/>
      <sheetData sheetId="21655" refreshError="1"/>
      <sheetData sheetId="21656"/>
      <sheetData sheetId="21657"/>
      <sheetData sheetId="21658"/>
      <sheetData sheetId="21659"/>
      <sheetData sheetId="21660" refreshError="1"/>
      <sheetData sheetId="21661"/>
      <sheetData sheetId="21662"/>
      <sheetData sheetId="21663"/>
      <sheetData sheetId="21664"/>
      <sheetData sheetId="21665"/>
      <sheetData sheetId="21666"/>
      <sheetData sheetId="21667"/>
      <sheetData sheetId="21668"/>
      <sheetData sheetId="21669"/>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sheetData sheetId="21678"/>
      <sheetData sheetId="21679"/>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refreshError="1"/>
      <sheetData sheetId="21695" refreshError="1"/>
      <sheetData sheetId="21696" refreshError="1"/>
      <sheetData sheetId="21697" refreshError="1"/>
      <sheetData sheetId="21698" refreshError="1"/>
      <sheetData sheetId="21699" refreshError="1"/>
      <sheetData sheetId="21700" refreshError="1"/>
      <sheetData sheetId="21701" refreshError="1"/>
      <sheetData sheetId="21702" refreshError="1"/>
      <sheetData sheetId="21703" refreshError="1"/>
      <sheetData sheetId="21704" refreshError="1"/>
      <sheetData sheetId="21705" refreshError="1"/>
      <sheetData sheetId="21706" refreshError="1"/>
      <sheetData sheetId="21707" refreshError="1"/>
      <sheetData sheetId="21708" refreshError="1"/>
      <sheetData sheetId="21709" refreshError="1"/>
      <sheetData sheetId="21710" refreshError="1"/>
      <sheetData sheetId="21711" refreshError="1"/>
      <sheetData sheetId="21712" refreshError="1"/>
      <sheetData sheetId="21713" refreshError="1"/>
      <sheetData sheetId="21714" refreshError="1"/>
      <sheetData sheetId="21715" refreshError="1"/>
      <sheetData sheetId="21716" refreshError="1"/>
      <sheetData sheetId="21717" refreshError="1"/>
      <sheetData sheetId="21718" refreshError="1"/>
      <sheetData sheetId="21719" refreshError="1"/>
      <sheetData sheetId="21720" refreshError="1"/>
      <sheetData sheetId="21721" refreshError="1"/>
      <sheetData sheetId="21722" refreshError="1"/>
      <sheetData sheetId="21723" refreshError="1"/>
      <sheetData sheetId="21724" refreshError="1"/>
      <sheetData sheetId="21725" refreshError="1"/>
      <sheetData sheetId="21726" refreshError="1"/>
      <sheetData sheetId="21727" refreshError="1"/>
      <sheetData sheetId="21728" refreshError="1"/>
      <sheetData sheetId="21729" refreshError="1"/>
      <sheetData sheetId="21730" refreshError="1"/>
      <sheetData sheetId="21731" refreshError="1"/>
      <sheetData sheetId="21732" refreshError="1"/>
      <sheetData sheetId="21733" refreshError="1"/>
      <sheetData sheetId="21734" refreshError="1"/>
      <sheetData sheetId="21735" refreshError="1"/>
      <sheetData sheetId="21736" refreshError="1"/>
      <sheetData sheetId="21737" refreshError="1"/>
      <sheetData sheetId="21738" refreshError="1"/>
      <sheetData sheetId="21739" refreshError="1"/>
      <sheetData sheetId="21740" refreshError="1"/>
      <sheetData sheetId="21741" refreshError="1"/>
      <sheetData sheetId="21742" refreshError="1"/>
      <sheetData sheetId="21743" refreshError="1"/>
      <sheetData sheetId="21744" refreshError="1"/>
      <sheetData sheetId="21745" refreshError="1"/>
      <sheetData sheetId="21746" refreshError="1"/>
      <sheetData sheetId="21747" refreshError="1"/>
      <sheetData sheetId="21748" refreshError="1"/>
      <sheetData sheetId="21749" refreshError="1"/>
      <sheetData sheetId="21750" refreshError="1"/>
      <sheetData sheetId="21751" refreshError="1"/>
      <sheetData sheetId="21752" refreshError="1"/>
      <sheetData sheetId="21753"/>
      <sheetData sheetId="21754" refreshError="1"/>
      <sheetData sheetId="21755" refreshError="1"/>
      <sheetData sheetId="21756"/>
      <sheetData sheetId="21757"/>
      <sheetData sheetId="21758"/>
      <sheetData sheetId="21759"/>
      <sheetData sheetId="21760"/>
      <sheetData sheetId="21761"/>
      <sheetData sheetId="21762"/>
      <sheetData sheetId="21763"/>
      <sheetData sheetId="21764"/>
      <sheetData sheetId="21765"/>
      <sheetData sheetId="21766"/>
      <sheetData sheetId="21767"/>
      <sheetData sheetId="21768"/>
      <sheetData sheetId="21769"/>
      <sheetData sheetId="21770"/>
      <sheetData sheetId="21771"/>
      <sheetData sheetId="21772"/>
      <sheetData sheetId="21773"/>
      <sheetData sheetId="21774"/>
      <sheetData sheetId="21775"/>
      <sheetData sheetId="21776"/>
      <sheetData sheetId="21777"/>
      <sheetData sheetId="21778"/>
      <sheetData sheetId="21779"/>
      <sheetData sheetId="21780"/>
      <sheetData sheetId="21781"/>
      <sheetData sheetId="21782"/>
      <sheetData sheetId="21783"/>
      <sheetData sheetId="21784"/>
      <sheetData sheetId="21785" refreshError="1"/>
      <sheetData sheetId="21786" refreshError="1"/>
      <sheetData sheetId="21787" refreshError="1"/>
      <sheetData sheetId="21788"/>
      <sheetData sheetId="21789"/>
      <sheetData sheetId="21790"/>
      <sheetData sheetId="21791"/>
      <sheetData sheetId="21792" refreshError="1"/>
      <sheetData sheetId="21793" refreshError="1"/>
      <sheetData sheetId="21794" refreshError="1"/>
      <sheetData sheetId="21795"/>
      <sheetData sheetId="21796" refreshError="1"/>
      <sheetData sheetId="21797" refreshError="1"/>
      <sheetData sheetId="21798" refreshError="1"/>
      <sheetData sheetId="21799" refreshError="1"/>
      <sheetData sheetId="21800" refreshError="1"/>
      <sheetData sheetId="21801" refreshError="1"/>
      <sheetData sheetId="21802"/>
      <sheetData sheetId="21803"/>
      <sheetData sheetId="21804"/>
      <sheetData sheetId="21805"/>
      <sheetData sheetId="21806"/>
      <sheetData sheetId="21807"/>
      <sheetData sheetId="21808"/>
      <sheetData sheetId="21809"/>
      <sheetData sheetId="21810"/>
      <sheetData sheetId="21811"/>
      <sheetData sheetId="21812"/>
      <sheetData sheetId="21813"/>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sheetData sheetId="21822"/>
      <sheetData sheetId="21823"/>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refreshError="1"/>
      <sheetData sheetId="21839" refreshError="1"/>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refreshError="1"/>
      <sheetData sheetId="21848" refreshError="1"/>
      <sheetData sheetId="21849" refreshError="1"/>
      <sheetData sheetId="21850" refreshError="1"/>
      <sheetData sheetId="21851" refreshError="1"/>
      <sheetData sheetId="21852" refreshError="1"/>
      <sheetData sheetId="21853" refreshError="1"/>
      <sheetData sheetId="21854" refreshError="1"/>
      <sheetData sheetId="21855" refreshError="1"/>
      <sheetData sheetId="21856" refreshError="1"/>
      <sheetData sheetId="21857" refreshError="1"/>
      <sheetData sheetId="21858" refreshError="1"/>
      <sheetData sheetId="21859" refreshError="1"/>
      <sheetData sheetId="21860" refreshError="1"/>
      <sheetData sheetId="21861" refreshError="1"/>
      <sheetData sheetId="21862" refreshError="1"/>
      <sheetData sheetId="21863" refreshError="1"/>
      <sheetData sheetId="21864" refreshError="1"/>
      <sheetData sheetId="21865" refreshError="1"/>
      <sheetData sheetId="21866" refreshError="1"/>
      <sheetData sheetId="21867" refreshError="1"/>
      <sheetData sheetId="21868" refreshError="1"/>
      <sheetData sheetId="21869" refreshError="1"/>
      <sheetData sheetId="21870" refreshError="1"/>
      <sheetData sheetId="21871" refreshError="1"/>
      <sheetData sheetId="21872" refreshError="1"/>
      <sheetData sheetId="21873" refreshError="1"/>
      <sheetData sheetId="21874" refreshError="1"/>
      <sheetData sheetId="21875" refreshError="1"/>
      <sheetData sheetId="21876" refreshError="1"/>
      <sheetData sheetId="21877" refreshError="1"/>
      <sheetData sheetId="21878" refreshError="1"/>
      <sheetData sheetId="21879" refreshError="1"/>
      <sheetData sheetId="21880" refreshError="1"/>
      <sheetData sheetId="21881" refreshError="1"/>
      <sheetData sheetId="21882" refreshError="1"/>
      <sheetData sheetId="21883" refreshError="1"/>
      <sheetData sheetId="21884" refreshError="1"/>
      <sheetData sheetId="21885" refreshError="1"/>
      <sheetData sheetId="21886" refreshError="1"/>
      <sheetData sheetId="21887" refreshError="1"/>
      <sheetData sheetId="21888" refreshError="1"/>
      <sheetData sheetId="21889" refreshError="1"/>
      <sheetData sheetId="21890" refreshError="1"/>
      <sheetData sheetId="21891" refreshError="1"/>
      <sheetData sheetId="21892" refreshError="1"/>
      <sheetData sheetId="21893" refreshError="1"/>
      <sheetData sheetId="21894" refreshError="1"/>
      <sheetData sheetId="21895" refreshError="1"/>
      <sheetData sheetId="21896" refreshError="1"/>
      <sheetData sheetId="21897"/>
      <sheetData sheetId="21898"/>
      <sheetData sheetId="21899" refreshError="1"/>
      <sheetData sheetId="21900" refreshError="1"/>
      <sheetData sheetId="21901" refreshError="1"/>
      <sheetData sheetId="21902" refreshError="1"/>
      <sheetData sheetId="21903" refreshError="1"/>
      <sheetData sheetId="21904" refreshError="1"/>
      <sheetData sheetId="21905" refreshError="1"/>
      <sheetData sheetId="21906"/>
      <sheetData sheetId="21907"/>
      <sheetData sheetId="21908" refreshError="1"/>
      <sheetData sheetId="21909"/>
      <sheetData sheetId="21910"/>
      <sheetData sheetId="21911"/>
      <sheetData sheetId="21912"/>
      <sheetData sheetId="21913"/>
      <sheetData sheetId="21914"/>
      <sheetData sheetId="21915"/>
      <sheetData sheetId="21916"/>
      <sheetData sheetId="21917"/>
      <sheetData sheetId="21918"/>
      <sheetData sheetId="21919"/>
      <sheetData sheetId="21920"/>
      <sheetData sheetId="21921"/>
      <sheetData sheetId="21922"/>
      <sheetData sheetId="21923"/>
      <sheetData sheetId="21924" refreshError="1"/>
      <sheetData sheetId="21925" refreshError="1"/>
      <sheetData sheetId="21926"/>
      <sheetData sheetId="21927"/>
      <sheetData sheetId="21928"/>
      <sheetData sheetId="21929"/>
      <sheetData sheetId="21930"/>
      <sheetData sheetId="21931"/>
      <sheetData sheetId="21932"/>
      <sheetData sheetId="21933"/>
      <sheetData sheetId="21934"/>
      <sheetData sheetId="21935"/>
      <sheetData sheetId="21936"/>
      <sheetData sheetId="21937"/>
      <sheetData sheetId="21938"/>
      <sheetData sheetId="21939"/>
      <sheetData sheetId="21940"/>
      <sheetData sheetId="21941"/>
      <sheetData sheetId="21942"/>
      <sheetData sheetId="21943"/>
      <sheetData sheetId="21944"/>
      <sheetData sheetId="21945"/>
      <sheetData sheetId="21946"/>
      <sheetData sheetId="21947"/>
      <sheetData sheetId="21948"/>
      <sheetData sheetId="21949"/>
      <sheetData sheetId="21950"/>
      <sheetData sheetId="21951"/>
      <sheetData sheetId="21952"/>
      <sheetData sheetId="21953"/>
      <sheetData sheetId="21954"/>
      <sheetData sheetId="21955"/>
      <sheetData sheetId="21956"/>
      <sheetData sheetId="21957"/>
      <sheetData sheetId="21958"/>
      <sheetData sheetId="21959"/>
      <sheetData sheetId="21960"/>
      <sheetData sheetId="21961"/>
      <sheetData sheetId="21962"/>
      <sheetData sheetId="21963"/>
      <sheetData sheetId="21964"/>
      <sheetData sheetId="21965"/>
      <sheetData sheetId="21966"/>
      <sheetData sheetId="21967"/>
      <sheetData sheetId="21968"/>
      <sheetData sheetId="21969"/>
      <sheetData sheetId="21970"/>
      <sheetData sheetId="21971"/>
      <sheetData sheetId="21972"/>
      <sheetData sheetId="21973"/>
      <sheetData sheetId="21974"/>
      <sheetData sheetId="21975"/>
      <sheetData sheetId="21976"/>
      <sheetData sheetId="21977"/>
      <sheetData sheetId="21978"/>
      <sheetData sheetId="21979"/>
      <sheetData sheetId="21980"/>
      <sheetData sheetId="21981"/>
      <sheetData sheetId="21982"/>
      <sheetData sheetId="21983"/>
      <sheetData sheetId="21984"/>
      <sheetData sheetId="21985"/>
      <sheetData sheetId="21986"/>
      <sheetData sheetId="21987"/>
      <sheetData sheetId="21988"/>
      <sheetData sheetId="21989"/>
      <sheetData sheetId="21990"/>
      <sheetData sheetId="21991"/>
      <sheetData sheetId="21992"/>
      <sheetData sheetId="21993"/>
      <sheetData sheetId="21994"/>
      <sheetData sheetId="21995"/>
      <sheetData sheetId="21996"/>
      <sheetData sheetId="21997"/>
      <sheetData sheetId="21998"/>
      <sheetData sheetId="21999"/>
      <sheetData sheetId="22000"/>
      <sheetData sheetId="22001"/>
      <sheetData sheetId="22002"/>
      <sheetData sheetId="22003"/>
      <sheetData sheetId="22004"/>
      <sheetData sheetId="22005"/>
      <sheetData sheetId="22006"/>
      <sheetData sheetId="22007"/>
      <sheetData sheetId="22008"/>
      <sheetData sheetId="22009"/>
      <sheetData sheetId="22010"/>
      <sheetData sheetId="22011"/>
      <sheetData sheetId="22012"/>
      <sheetData sheetId="22013"/>
      <sheetData sheetId="22014" refreshError="1"/>
      <sheetData sheetId="22015" refreshError="1"/>
      <sheetData sheetId="22016" refreshError="1"/>
      <sheetData sheetId="22017"/>
      <sheetData sheetId="22018"/>
      <sheetData sheetId="22019"/>
      <sheetData sheetId="22020"/>
      <sheetData sheetId="22021"/>
      <sheetData sheetId="22022"/>
      <sheetData sheetId="22023"/>
      <sheetData sheetId="22024"/>
      <sheetData sheetId="22025"/>
      <sheetData sheetId="22026"/>
      <sheetData sheetId="22027"/>
      <sheetData sheetId="22028"/>
      <sheetData sheetId="22029"/>
      <sheetData sheetId="22030"/>
      <sheetData sheetId="22031"/>
      <sheetData sheetId="22032"/>
      <sheetData sheetId="22033"/>
      <sheetData sheetId="22034" refreshError="1"/>
      <sheetData sheetId="22035"/>
      <sheetData sheetId="22036"/>
      <sheetData sheetId="22037"/>
      <sheetData sheetId="22038"/>
      <sheetData sheetId="22039"/>
      <sheetData sheetId="22040"/>
      <sheetData sheetId="22041"/>
      <sheetData sheetId="22042"/>
      <sheetData sheetId="22043"/>
      <sheetData sheetId="22044"/>
      <sheetData sheetId="22045"/>
      <sheetData sheetId="22046"/>
      <sheetData sheetId="22047"/>
      <sheetData sheetId="22048"/>
      <sheetData sheetId="22049"/>
      <sheetData sheetId="22050"/>
      <sheetData sheetId="22051"/>
      <sheetData sheetId="22052"/>
      <sheetData sheetId="22053"/>
      <sheetData sheetId="22054"/>
      <sheetData sheetId="22055"/>
      <sheetData sheetId="22056"/>
      <sheetData sheetId="22057"/>
      <sheetData sheetId="22058"/>
      <sheetData sheetId="22059"/>
      <sheetData sheetId="22060"/>
      <sheetData sheetId="22061"/>
      <sheetData sheetId="22062"/>
      <sheetData sheetId="22063"/>
      <sheetData sheetId="22064"/>
      <sheetData sheetId="22065"/>
      <sheetData sheetId="22066"/>
      <sheetData sheetId="22067"/>
      <sheetData sheetId="22068"/>
      <sheetData sheetId="22069"/>
      <sheetData sheetId="22070"/>
      <sheetData sheetId="22071"/>
      <sheetData sheetId="22072"/>
      <sheetData sheetId="22073"/>
      <sheetData sheetId="22074"/>
      <sheetData sheetId="22075"/>
      <sheetData sheetId="22076"/>
      <sheetData sheetId="22077"/>
      <sheetData sheetId="22078"/>
      <sheetData sheetId="22079"/>
      <sheetData sheetId="22080"/>
      <sheetData sheetId="22081"/>
      <sheetData sheetId="22082"/>
      <sheetData sheetId="22083"/>
      <sheetData sheetId="22084"/>
      <sheetData sheetId="22085"/>
      <sheetData sheetId="22086"/>
      <sheetData sheetId="22087"/>
      <sheetData sheetId="22088"/>
      <sheetData sheetId="22089"/>
      <sheetData sheetId="22090"/>
      <sheetData sheetId="22091"/>
      <sheetData sheetId="22092"/>
      <sheetData sheetId="22093"/>
      <sheetData sheetId="22094"/>
      <sheetData sheetId="22095"/>
      <sheetData sheetId="22096"/>
      <sheetData sheetId="22097"/>
      <sheetData sheetId="22098"/>
      <sheetData sheetId="22099"/>
      <sheetData sheetId="22100"/>
      <sheetData sheetId="22101"/>
      <sheetData sheetId="22102"/>
      <sheetData sheetId="22103"/>
      <sheetData sheetId="22104"/>
      <sheetData sheetId="22105"/>
      <sheetData sheetId="22106"/>
      <sheetData sheetId="22107"/>
      <sheetData sheetId="22108"/>
      <sheetData sheetId="22109"/>
      <sheetData sheetId="22110"/>
      <sheetData sheetId="22111" refreshError="1"/>
      <sheetData sheetId="22112"/>
      <sheetData sheetId="22113"/>
      <sheetData sheetId="22114" refreshError="1"/>
      <sheetData sheetId="22115" refreshError="1"/>
      <sheetData sheetId="22116" refreshError="1"/>
      <sheetData sheetId="22117" refreshError="1"/>
      <sheetData sheetId="22118" refreshError="1"/>
      <sheetData sheetId="22119" refreshError="1"/>
      <sheetData sheetId="22120"/>
      <sheetData sheetId="22121"/>
      <sheetData sheetId="22122"/>
      <sheetData sheetId="22123"/>
      <sheetData sheetId="22124"/>
      <sheetData sheetId="22125"/>
      <sheetData sheetId="22126"/>
      <sheetData sheetId="22127"/>
      <sheetData sheetId="22128"/>
      <sheetData sheetId="22129"/>
      <sheetData sheetId="22130"/>
      <sheetData sheetId="22131"/>
      <sheetData sheetId="22132"/>
      <sheetData sheetId="22133"/>
      <sheetData sheetId="22134"/>
      <sheetData sheetId="22135"/>
      <sheetData sheetId="22136"/>
      <sheetData sheetId="22137" refreshError="1"/>
      <sheetData sheetId="22138"/>
      <sheetData sheetId="22139"/>
      <sheetData sheetId="22140"/>
      <sheetData sheetId="22141"/>
      <sheetData sheetId="22142"/>
      <sheetData sheetId="22143"/>
      <sheetData sheetId="22144"/>
      <sheetData sheetId="22145"/>
      <sheetData sheetId="22146"/>
      <sheetData sheetId="22147"/>
      <sheetData sheetId="22148"/>
      <sheetData sheetId="22149"/>
      <sheetData sheetId="22150"/>
      <sheetData sheetId="22151"/>
      <sheetData sheetId="22152"/>
      <sheetData sheetId="22153"/>
      <sheetData sheetId="22154"/>
      <sheetData sheetId="22155"/>
      <sheetData sheetId="22156"/>
      <sheetData sheetId="22157"/>
      <sheetData sheetId="22158"/>
      <sheetData sheetId="22159"/>
      <sheetData sheetId="22160"/>
      <sheetData sheetId="22161"/>
      <sheetData sheetId="22162"/>
      <sheetData sheetId="22163"/>
      <sheetData sheetId="22164"/>
      <sheetData sheetId="22165"/>
      <sheetData sheetId="22166"/>
      <sheetData sheetId="22167"/>
      <sheetData sheetId="22168"/>
      <sheetData sheetId="22169"/>
      <sheetData sheetId="22170"/>
      <sheetData sheetId="22171"/>
      <sheetData sheetId="22172"/>
      <sheetData sheetId="22173"/>
      <sheetData sheetId="22174"/>
      <sheetData sheetId="22175"/>
      <sheetData sheetId="22176"/>
      <sheetData sheetId="22177"/>
      <sheetData sheetId="22178"/>
      <sheetData sheetId="22179"/>
      <sheetData sheetId="22180"/>
      <sheetData sheetId="22181"/>
      <sheetData sheetId="22182"/>
      <sheetData sheetId="22183"/>
      <sheetData sheetId="22184"/>
      <sheetData sheetId="22185"/>
      <sheetData sheetId="22186"/>
      <sheetData sheetId="22187"/>
      <sheetData sheetId="22188"/>
      <sheetData sheetId="22189"/>
      <sheetData sheetId="22190"/>
      <sheetData sheetId="22191"/>
      <sheetData sheetId="22192"/>
      <sheetData sheetId="22193"/>
      <sheetData sheetId="22194"/>
      <sheetData sheetId="22195"/>
      <sheetData sheetId="22196"/>
      <sheetData sheetId="22197"/>
      <sheetData sheetId="22198"/>
      <sheetData sheetId="22199"/>
      <sheetData sheetId="22200"/>
      <sheetData sheetId="22201"/>
      <sheetData sheetId="22202"/>
      <sheetData sheetId="22203"/>
      <sheetData sheetId="22204"/>
      <sheetData sheetId="22205"/>
      <sheetData sheetId="22206"/>
      <sheetData sheetId="22207"/>
      <sheetData sheetId="22208"/>
      <sheetData sheetId="22209"/>
      <sheetData sheetId="22210"/>
      <sheetData sheetId="22211"/>
      <sheetData sheetId="22212"/>
      <sheetData sheetId="22213"/>
      <sheetData sheetId="22214"/>
      <sheetData sheetId="22215"/>
      <sheetData sheetId="22216"/>
      <sheetData sheetId="22217"/>
      <sheetData sheetId="22218"/>
      <sheetData sheetId="22219"/>
      <sheetData sheetId="22220"/>
      <sheetData sheetId="22221"/>
      <sheetData sheetId="22222"/>
      <sheetData sheetId="22223"/>
      <sheetData sheetId="22224"/>
      <sheetData sheetId="22225"/>
      <sheetData sheetId="22226"/>
      <sheetData sheetId="22227"/>
      <sheetData sheetId="22228"/>
      <sheetData sheetId="22229"/>
      <sheetData sheetId="22230"/>
      <sheetData sheetId="22231"/>
      <sheetData sheetId="22232"/>
      <sheetData sheetId="22233"/>
      <sheetData sheetId="22234"/>
      <sheetData sheetId="22235"/>
      <sheetData sheetId="22236"/>
      <sheetData sheetId="22237"/>
      <sheetData sheetId="22238"/>
      <sheetData sheetId="22239"/>
      <sheetData sheetId="22240"/>
      <sheetData sheetId="22241"/>
      <sheetData sheetId="22242"/>
      <sheetData sheetId="22243"/>
      <sheetData sheetId="22244"/>
      <sheetData sheetId="22245"/>
      <sheetData sheetId="22246"/>
      <sheetData sheetId="22247"/>
      <sheetData sheetId="22248"/>
      <sheetData sheetId="22249"/>
      <sheetData sheetId="22250"/>
      <sheetData sheetId="22251"/>
      <sheetData sheetId="22252"/>
      <sheetData sheetId="22253"/>
      <sheetData sheetId="22254"/>
      <sheetData sheetId="22255"/>
      <sheetData sheetId="22256"/>
      <sheetData sheetId="22257"/>
      <sheetData sheetId="22258"/>
      <sheetData sheetId="22259"/>
      <sheetData sheetId="22260"/>
      <sheetData sheetId="22261"/>
      <sheetData sheetId="22262"/>
      <sheetData sheetId="22263"/>
      <sheetData sheetId="22264"/>
      <sheetData sheetId="22265"/>
      <sheetData sheetId="22266"/>
      <sheetData sheetId="22267"/>
      <sheetData sheetId="22268"/>
      <sheetData sheetId="22269"/>
      <sheetData sheetId="22270"/>
      <sheetData sheetId="22271"/>
      <sheetData sheetId="22272"/>
      <sheetData sheetId="22273"/>
      <sheetData sheetId="22274"/>
      <sheetData sheetId="22275"/>
      <sheetData sheetId="22276"/>
      <sheetData sheetId="22277"/>
      <sheetData sheetId="22278"/>
      <sheetData sheetId="22279"/>
      <sheetData sheetId="22280"/>
      <sheetData sheetId="22281"/>
      <sheetData sheetId="22282"/>
      <sheetData sheetId="22283"/>
      <sheetData sheetId="22284"/>
      <sheetData sheetId="22285"/>
      <sheetData sheetId="22286"/>
      <sheetData sheetId="22287"/>
      <sheetData sheetId="22288"/>
      <sheetData sheetId="22289"/>
      <sheetData sheetId="22290"/>
      <sheetData sheetId="22291"/>
      <sheetData sheetId="22292"/>
      <sheetData sheetId="22293"/>
      <sheetData sheetId="22294"/>
      <sheetData sheetId="22295"/>
      <sheetData sheetId="22296"/>
      <sheetData sheetId="22297"/>
      <sheetData sheetId="22298"/>
      <sheetData sheetId="22299"/>
      <sheetData sheetId="22300"/>
      <sheetData sheetId="22301"/>
      <sheetData sheetId="22302"/>
      <sheetData sheetId="22303"/>
      <sheetData sheetId="22304"/>
      <sheetData sheetId="22305"/>
      <sheetData sheetId="22306"/>
      <sheetData sheetId="22307"/>
      <sheetData sheetId="22308"/>
      <sheetData sheetId="22309"/>
      <sheetData sheetId="22310"/>
      <sheetData sheetId="22311"/>
      <sheetData sheetId="22312"/>
      <sheetData sheetId="22313"/>
      <sheetData sheetId="22314"/>
      <sheetData sheetId="22315"/>
      <sheetData sheetId="22316"/>
      <sheetData sheetId="22317"/>
      <sheetData sheetId="22318"/>
      <sheetData sheetId="22319"/>
      <sheetData sheetId="22320"/>
      <sheetData sheetId="22321"/>
      <sheetData sheetId="22322"/>
      <sheetData sheetId="22323"/>
      <sheetData sheetId="22324"/>
      <sheetData sheetId="22325"/>
      <sheetData sheetId="22326"/>
      <sheetData sheetId="22327"/>
      <sheetData sheetId="22328"/>
      <sheetData sheetId="22329"/>
      <sheetData sheetId="22330"/>
      <sheetData sheetId="22331"/>
      <sheetData sheetId="22332"/>
      <sheetData sheetId="22333"/>
      <sheetData sheetId="22334"/>
      <sheetData sheetId="22335"/>
      <sheetData sheetId="22336"/>
      <sheetData sheetId="22337"/>
      <sheetData sheetId="22338"/>
      <sheetData sheetId="22339"/>
      <sheetData sheetId="22340"/>
      <sheetData sheetId="22341"/>
      <sheetData sheetId="22342"/>
      <sheetData sheetId="22343"/>
      <sheetData sheetId="22344"/>
      <sheetData sheetId="22345"/>
      <sheetData sheetId="22346"/>
      <sheetData sheetId="22347"/>
      <sheetData sheetId="22348"/>
      <sheetData sheetId="22349"/>
      <sheetData sheetId="22350"/>
      <sheetData sheetId="22351"/>
      <sheetData sheetId="22352"/>
      <sheetData sheetId="22353"/>
      <sheetData sheetId="22354"/>
      <sheetData sheetId="22355"/>
      <sheetData sheetId="22356"/>
      <sheetData sheetId="22357"/>
      <sheetData sheetId="22358"/>
      <sheetData sheetId="22359"/>
      <sheetData sheetId="22360"/>
      <sheetData sheetId="22361"/>
      <sheetData sheetId="22362"/>
      <sheetData sheetId="22363"/>
      <sheetData sheetId="22364"/>
      <sheetData sheetId="22365"/>
      <sheetData sheetId="22366"/>
      <sheetData sheetId="22367"/>
      <sheetData sheetId="22368"/>
      <sheetData sheetId="22369"/>
      <sheetData sheetId="22370"/>
      <sheetData sheetId="22371"/>
      <sheetData sheetId="22372"/>
      <sheetData sheetId="22373"/>
      <sheetData sheetId="22374"/>
      <sheetData sheetId="22375"/>
      <sheetData sheetId="22376"/>
      <sheetData sheetId="22377"/>
      <sheetData sheetId="22378"/>
      <sheetData sheetId="22379"/>
      <sheetData sheetId="22380"/>
      <sheetData sheetId="22381"/>
      <sheetData sheetId="22382"/>
      <sheetData sheetId="22383"/>
      <sheetData sheetId="22384"/>
      <sheetData sheetId="22385"/>
      <sheetData sheetId="22386"/>
      <sheetData sheetId="22387"/>
      <sheetData sheetId="22388"/>
      <sheetData sheetId="22389"/>
      <sheetData sheetId="22390"/>
      <sheetData sheetId="22391"/>
      <sheetData sheetId="22392"/>
      <sheetData sheetId="22393"/>
      <sheetData sheetId="22394"/>
      <sheetData sheetId="22395"/>
      <sheetData sheetId="22396"/>
      <sheetData sheetId="22397"/>
      <sheetData sheetId="22398"/>
      <sheetData sheetId="22399"/>
      <sheetData sheetId="22400"/>
      <sheetData sheetId="22401"/>
      <sheetData sheetId="22402"/>
      <sheetData sheetId="22403"/>
      <sheetData sheetId="22404"/>
      <sheetData sheetId="22405"/>
      <sheetData sheetId="22406"/>
      <sheetData sheetId="22407"/>
      <sheetData sheetId="22408"/>
      <sheetData sheetId="22409"/>
      <sheetData sheetId="22410"/>
      <sheetData sheetId="22411"/>
      <sheetData sheetId="22412"/>
      <sheetData sheetId="22413"/>
      <sheetData sheetId="22414"/>
      <sheetData sheetId="22415"/>
      <sheetData sheetId="22416"/>
      <sheetData sheetId="22417"/>
      <sheetData sheetId="22418"/>
      <sheetData sheetId="22419"/>
      <sheetData sheetId="22420"/>
      <sheetData sheetId="22421"/>
      <sheetData sheetId="22422"/>
      <sheetData sheetId="22423"/>
      <sheetData sheetId="22424"/>
      <sheetData sheetId="22425"/>
      <sheetData sheetId="22426"/>
      <sheetData sheetId="22427"/>
      <sheetData sheetId="22428"/>
      <sheetData sheetId="22429"/>
      <sheetData sheetId="22430"/>
      <sheetData sheetId="22431"/>
      <sheetData sheetId="22432"/>
      <sheetData sheetId="22433"/>
      <sheetData sheetId="22434"/>
      <sheetData sheetId="22435"/>
      <sheetData sheetId="22436"/>
      <sheetData sheetId="22437"/>
      <sheetData sheetId="22438"/>
      <sheetData sheetId="22439"/>
      <sheetData sheetId="22440"/>
      <sheetData sheetId="22441"/>
      <sheetData sheetId="22442"/>
      <sheetData sheetId="22443"/>
      <sheetData sheetId="22444"/>
      <sheetData sheetId="22445"/>
      <sheetData sheetId="22446"/>
      <sheetData sheetId="22447"/>
      <sheetData sheetId="22448"/>
      <sheetData sheetId="22449"/>
      <sheetData sheetId="22450"/>
      <sheetData sheetId="22451"/>
      <sheetData sheetId="22452"/>
      <sheetData sheetId="22453"/>
      <sheetData sheetId="22454"/>
      <sheetData sheetId="22455"/>
      <sheetData sheetId="22456"/>
      <sheetData sheetId="22457"/>
      <sheetData sheetId="22458"/>
      <sheetData sheetId="22459"/>
      <sheetData sheetId="22460"/>
      <sheetData sheetId="22461"/>
      <sheetData sheetId="22462"/>
      <sheetData sheetId="22463"/>
      <sheetData sheetId="22464"/>
      <sheetData sheetId="22465"/>
      <sheetData sheetId="22466"/>
      <sheetData sheetId="22467"/>
      <sheetData sheetId="22468"/>
      <sheetData sheetId="22469"/>
      <sheetData sheetId="22470"/>
      <sheetData sheetId="22471"/>
      <sheetData sheetId="22472"/>
      <sheetData sheetId="22473"/>
      <sheetData sheetId="22474"/>
      <sheetData sheetId="22475"/>
      <sheetData sheetId="22476"/>
      <sheetData sheetId="22477"/>
      <sheetData sheetId="22478"/>
      <sheetData sheetId="22479"/>
      <sheetData sheetId="22480"/>
      <sheetData sheetId="22481"/>
      <sheetData sheetId="22482"/>
      <sheetData sheetId="22483"/>
      <sheetData sheetId="22484"/>
      <sheetData sheetId="22485"/>
      <sheetData sheetId="22486"/>
      <sheetData sheetId="22487"/>
      <sheetData sheetId="22488"/>
      <sheetData sheetId="22489"/>
      <sheetData sheetId="22490"/>
      <sheetData sheetId="22491"/>
      <sheetData sheetId="22492"/>
      <sheetData sheetId="22493"/>
      <sheetData sheetId="22494"/>
      <sheetData sheetId="22495"/>
      <sheetData sheetId="22496"/>
      <sheetData sheetId="22497"/>
      <sheetData sheetId="22498"/>
      <sheetData sheetId="22499"/>
      <sheetData sheetId="22500"/>
      <sheetData sheetId="22501"/>
      <sheetData sheetId="22502"/>
      <sheetData sheetId="22503"/>
      <sheetData sheetId="22504"/>
      <sheetData sheetId="22505"/>
      <sheetData sheetId="22506"/>
      <sheetData sheetId="22507"/>
      <sheetData sheetId="22508"/>
      <sheetData sheetId="22509"/>
      <sheetData sheetId="22510"/>
      <sheetData sheetId="22511"/>
      <sheetData sheetId="22512"/>
      <sheetData sheetId="22513"/>
      <sheetData sheetId="22514"/>
      <sheetData sheetId="22515"/>
      <sheetData sheetId="22516"/>
      <sheetData sheetId="22517"/>
      <sheetData sheetId="22518"/>
      <sheetData sheetId="22519"/>
      <sheetData sheetId="22520"/>
      <sheetData sheetId="22521"/>
      <sheetData sheetId="22522"/>
      <sheetData sheetId="22523"/>
      <sheetData sheetId="22524"/>
      <sheetData sheetId="22525"/>
      <sheetData sheetId="22526"/>
      <sheetData sheetId="22527"/>
      <sheetData sheetId="22528"/>
      <sheetData sheetId="22529"/>
      <sheetData sheetId="22530"/>
      <sheetData sheetId="22531"/>
      <sheetData sheetId="22532"/>
      <sheetData sheetId="22533"/>
      <sheetData sheetId="22534"/>
      <sheetData sheetId="22535"/>
      <sheetData sheetId="22536"/>
      <sheetData sheetId="22537"/>
      <sheetData sheetId="22538"/>
      <sheetData sheetId="22539"/>
      <sheetData sheetId="22540"/>
      <sheetData sheetId="22541"/>
      <sheetData sheetId="22542"/>
      <sheetData sheetId="22543"/>
      <sheetData sheetId="22544"/>
      <sheetData sheetId="22545"/>
      <sheetData sheetId="22546"/>
      <sheetData sheetId="22547"/>
      <sheetData sheetId="22548"/>
      <sheetData sheetId="22549"/>
      <sheetData sheetId="22550"/>
      <sheetData sheetId="22551"/>
      <sheetData sheetId="22552"/>
      <sheetData sheetId="22553"/>
      <sheetData sheetId="22554"/>
      <sheetData sheetId="22555"/>
      <sheetData sheetId="22556"/>
      <sheetData sheetId="22557"/>
      <sheetData sheetId="22558"/>
      <sheetData sheetId="22559"/>
      <sheetData sheetId="22560"/>
      <sheetData sheetId="22561"/>
      <sheetData sheetId="22562"/>
      <sheetData sheetId="22563"/>
      <sheetData sheetId="22564"/>
      <sheetData sheetId="22565"/>
      <sheetData sheetId="22566"/>
      <sheetData sheetId="22567"/>
      <sheetData sheetId="22568"/>
      <sheetData sheetId="22569"/>
      <sheetData sheetId="22570"/>
      <sheetData sheetId="22571"/>
      <sheetData sheetId="22572"/>
      <sheetData sheetId="22573"/>
      <sheetData sheetId="22574"/>
      <sheetData sheetId="22575"/>
      <sheetData sheetId="22576"/>
      <sheetData sheetId="22577"/>
      <sheetData sheetId="22578"/>
      <sheetData sheetId="22579"/>
      <sheetData sheetId="22580"/>
      <sheetData sheetId="22581"/>
      <sheetData sheetId="22582"/>
      <sheetData sheetId="22583"/>
      <sheetData sheetId="22584"/>
      <sheetData sheetId="22585"/>
      <sheetData sheetId="22586"/>
      <sheetData sheetId="22587"/>
      <sheetData sheetId="22588"/>
      <sheetData sheetId="22589"/>
      <sheetData sheetId="22590"/>
      <sheetData sheetId="22591"/>
      <sheetData sheetId="22592"/>
      <sheetData sheetId="22593"/>
      <sheetData sheetId="22594"/>
      <sheetData sheetId="22595"/>
      <sheetData sheetId="22596"/>
      <sheetData sheetId="22597"/>
      <sheetData sheetId="22598"/>
      <sheetData sheetId="22599"/>
      <sheetData sheetId="22600"/>
      <sheetData sheetId="22601"/>
      <sheetData sheetId="22602"/>
      <sheetData sheetId="22603"/>
      <sheetData sheetId="22604"/>
      <sheetData sheetId="22605"/>
      <sheetData sheetId="22606"/>
      <sheetData sheetId="22607"/>
      <sheetData sheetId="22608"/>
      <sheetData sheetId="22609"/>
      <sheetData sheetId="22610"/>
      <sheetData sheetId="22611"/>
      <sheetData sheetId="22612"/>
      <sheetData sheetId="22613"/>
      <sheetData sheetId="22614"/>
      <sheetData sheetId="22615"/>
      <sheetData sheetId="22616"/>
      <sheetData sheetId="22617"/>
      <sheetData sheetId="22618"/>
      <sheetData sheetId="22619"/>
      <sheetData sheetId="22620"/>
      <sheetData sheetId="22621"/>
      <sheetData sheetId="22622"/>
      <sheetData sheetId="22623"/>
      <sheetData sheetId="22624"/>
      <sheetData sheetId="22625"/>
      <sheetData sheetId="22626"/>
      <sheetData sheetId="22627"/>
      <sheetData sheetId="22628"/>
      <sheetData sheetId="22629"/>
      <sheetData sheetId="22630"/>
      <sheetData sheetId="22631"/>
      <sheetData sheetId="22632"/>
      <sheetData sheetId="22633"/>
      <sheetData sheetId="22634"/>
      <sheetData sheetId="22635"/>
      <sheetData sheetId="22636"/>
      <sheetData sheetId="22637"/>
      <sheetData sheetId="22638"/>
      <sheetData sheetId="22639"/>
      <sheetData sheetId="22640"/>
      <sheetData sheetId="22641"/>
      <sheetData sheetId="22642"/>
      <sheetData sheetId="22643"/>
      <sheetData sheetId="22644"/>
      <sheetData sheetId="22645"/>
      <sheetData sheetId="22646"/>
      <sheetData sheetId="22647"/>
      <sheetData sheetId="22648"/>
      <sheetData sheetId="22649"/>
      <sheetData sheetId="22650"/>
      <sheetData sheetId="22651"/>
      <sheetData sheetId="22652"/>
      <sheetData sheetId="22653"/>
      <sheetData sheetId="22654"/>
      <sheetData sheetId="22655"/>
      <sheetData sheetId="22656"/>
      <sheetData sheetId="22657"/>
      <sheetData sheetId="22658"/>
      <sheetData sheetId="22659"/>
      <sheetData sheetId="22660"/>
      <sheetData sheetId="22661"/>
      <sheetData sheetId="22662"/>
      <sheetData sheetId="22663"/>
      <sheetData sheetId="22664"/>
      <sheetData sheetId="22665"/>
      <sheetData sheetId="22666"/>
      <sheetData sheetId="22667"/>
      <sheetData sheetId="22668"/>
      <sheetData sheetId="22669"/>
      <sheetData sheetId="22670"/>
      <sheetData sheetId="22671"/>
      <sheetData sheetId="22672"/>
      <sheetData sheetId="22673"/>
      <sheetData sheetId="22674"/>
      <sheetData sheetId="22675"/>
      <sheetData sheetId="22676"/>
      <sheetData sheetId="22677"/>
      <sheetData sheetId="22678"/>
      <sheetData sheetId="22679"/>
      <sheetData sheetId="22680"/>
      <sheetData sheetId="22681"/>
      <sheetData sheetId="22682"/>
      <sheetData sheetId="22683"/>
      <sheetData sheetId="22684"/>
      <sheetData sheetId="22685"/>
      <sheetData sheetId="22686"/>
      <sheetData sheetId="22687"/>
      <sheetData sheetId="22688"/>
      <sheetData sheetId="22689"/>
      <sheetData sheetId="22690"/>
      <sheetData sheetId="22691"/>
      <sheetData sheetId="22692"/>
      <sheetData sheetId="22693"/>
      <sheetData sheetId="22694"/>
      <sheetData sheetId="22695"/>
      <sheetData sheetId="22696"/>
      <sheetData sheetId="22697"/>
      <sheetData sheetId="22698"/>
      <sheetData sheetId="22699"/>
      <sheetData sheetId="22700"/>
      <sheetData sheetId="22701"/>
      <sheetData sheetId="22702"/>
      <sheetData sheetId="22703"/>
      <sheetData sheetId="22704"/>
      <sheetData sheetId="22705"/>
      <sheetData sheetId="22706"/>
      <sheetData sheetId="22707"/>
      <sheetData sheetId="22708"/>
      <sheetData sheetId="22709"/>
      <sheetData sheetId="22710"/>
      <sheetData sheetId="22711"/>
      <sheetData sheetId="22712"/>
      <sheetData sheetId="22713"/>
      <sheetData sheetId="22714"/>
      <sheetData sheetId="22715"/>
      <sheetData sheetId="22716"/>
      <sheetData sheetId="22717"/>
      <sheetData sheetId="22718"/>
      <sheetData sheetId="22719"/>
      <sheetData sheetId="22720"/>
      <sheetData sheetId="22721"/>
      <sheetData sheetId="22722"/>
      <sheetData sheetId="22723"/>
      <sheetData sheetId="22724"/>
      <sheetData sheetId="22725"/>
      <sheetData sheetId="22726"/>
      <sheetData sheetId="22727"/>
      <sheetData sheetId="22728"/>
      <sheetData sheetId="22729"/>
      <sheetData sheetId="22730"/>
      <sheetData sheetId="22731"/>
      <sheetData sheetId="22732"/>
      <sheetData sheetId="22733"/>
      <sheetData sheetId="22734"/>
      <sheetData sheetId="22735"/>
      <sheetData sheetId="22736"/>
      <sheetData sheetId="22737"/>
      <sheetData sheetId="22738"/>
      <sheetData sheetId="22739"/>
      <sheetData sheetId="22740"/>
      <sheetData sheetId="22741"/>
      <sheetData sheetId="22742"/>
      <sheetData sheetId="22743"/>
      <sheetData sheetId="22744"/>
      <sheetData sheetId="22745"/>
      <sheetData sheetId="22746"/>
      <sheetData sheetId="22747"/>
      <sheetData sheetId="22748"/>
      <sheetData sheetId="22749"/>
      <sheetData sheetId="22750"/>
      <sheetData sheetId="22751"/>
      <sheetData sheetId="22752"/>
      <sheetData sheetId="22753"/>
      <sheetData sheetId="22754"/>
      <sheetData sheetId="22755"/>
      <sheetData sheetId="22756"/>
      <sheetData sheetId="22757"/>
      <sheetData sheetId="22758"/>
      <sheetData sheetId="22759"/>
      <sheetData sheetId="22760"/>
      <sheetData sheetId="22761"/>
      <sheetData sheetId="22762"/>
      <sheetData sheetId="22763"/>
      <sheetData sheetId="22764"/>
      <sheetData sheetId="22765"/>
      <sheetData sheetId="22766"/>
      <sheetData sheetId="22767"/>
      <sheetData sheetId="22768"/>
      <sheetData sheetId="22769"/>
      <sheetData sheetId="22770"/>
      <sheetData sheetId="22771"/>
      <sheetData sheetId="22772"/>
      <sheetData sheetId="22773"/>
      <sheetData sheetId="22774"/>
      <sheetData sheetId="22775"/>
      <sheetData sheetId="22776"/>
      <sheetData sheetId="22777"/>
      <sheetData sheetId="22778"/>
      <sheetData sheetId="22779"/>
      <sheetData sheetId="22780"/>
      <sheetData sheetId="22781"/>
      <sheetData sheetId="22782"/>
      <sheetData sheetId="22783"/>
      <sheetData sheetId="22784"/>
      <sheetData sheetId="22785"/>
      <sheetData sheetId="22786"/>
      <sheetData sheetId="22787"/>
      <sheetData sheetId="22788"/>
      <sheetData sheetId="22789"/>
      <sheetData sheetId="22790"/>
      <sheetData sheetId="22791"/>
      <sheetData sheetId="22792"/>
      <sheetData sheetId="22793"/>
      <sheetData sheetId="22794"/>
      <sheetData sheetId="22795"/>
      <sheetData sheetId="22796"/>
      <sheetData sheetId="22797"/>
      <sheetData sheetId="22798"/>
      <sheetData sheetId="22799"/>
      <sheetData sheetId="22800"/>
      <sheetData sheetId="22801"/>
      <sheetData sheetId="22802"/>
      <sheetData sheetId="22803"/>
      <sheetData sheetId="22804"/>
      <sheetData sheetId="22805"/>
      <sheetData sheetId="22806"/>
      <sheetData sheetId="22807"/>
      <sheetData sheetId="22808"/>
      <sheetData sheetId="22809"/>
      <sheetData sheetId="22810"/>
      <sheetData sheetId="22811"/>
      <sheetData sheetId="22812"/>
      <sheetData sheetId="22813"/>
      <sheetData sheetId="22814"/>
      <sheetData sheetId="22815"/>
      <sheetData sheetId="22816"/>
      <sheetData sheetId="22817"/>
      <sheetData sheetId="22818"/>
      <sheetData sheetId="22819"/>
      <sheetData sheetId="22820"/>
      <sheetData sheetId="22821"/>
      <sheetData sheetId="22822"/>
      <sheetData sheetId="22823"/>
      <sheetData sheetId="22824"/>
      <sheetData sheetId="22825"/>
      <sheetData sheetId="22826"/>
      <sheetData sheetId="22827"/>
      <sheetData sheetId="22828"/>
      <sheetData sheetId="22829"/>
      <sheetData sheetId="22830"/>
      <sheetData sheetId="22831"/>
      <sheetData sheetId="22832"/>
      <sheetData sheetId="22833"/>
      <sheetData sheetId="22834"/>
      <sheetData sheetId="22835"/>
      <sheetData sheetId="22836"/>
      <sheetData sheetId="22837"/>
      <sheetData sheetId="22838"/>
      <sheetData sheetId="22839"/>
      <sheetData sheetId="22840"/>
      <sheetData sheetId="22841"/>
      <sheetData sheetId="22842"/>
      <sheetData sheetId="22843"/>
      <sheetData sheetId="22844"/>
      <sheetData sheetId="22845"/>
      <sheetData sheetId="22846"/>
      <sheetData sheetId="22847"/>
      <sheetData sheetId="22848"/>
      <sheetData sheetId="22849"/>
      <sheetData sheetId="22850"/>
      <sheetData sheetId="22851"/>
      <sheetData sheetId="22852"/>
      <sheetData sheetId="22853"/>
      <sheetData sheetId="22854"/>
      <sheetData sheetId="22855"/>
      <sheetData sheetId="22856"/>
      <sheetData sheetId="22857"/>
      <sheetData sheetId="22858"/>
      <sheetData sheetId="22859"/>
      <sheetData sheetId="22860"/>
      <sheetData sheetId="22861"/>
      <sheetData sheetId="22862"/>
      <sheetData sheetId="22863"/>
      <sheetData sheetId="22864"/>
      <sheetData sheetId="22865"/>
      <sheetData sheetId="22866"/>
      <sheetData sheetId="22867"/>
      <sheetData sheetId="22868"/>
      <sheetData sheetId="22869"/>
      <sheetData sheetId="22870"/>
      <sheetData sheetId="22871"/>
      <sheetData sheetId="22872"/>
      <sheetData sheetId="22873"/>
      <sheetData sheetId="22874"/>
      <sheetData sheetId="22875"/>
      <sheetData sheetId="22876"/>
      <sheetData sheetId="22877"/>
      <sheetData sheetId="22878"/>
      <sheetData sheetId="22879"/>
      <sheetData sheetId="22880"/>
      <sheetData sheetId="22881"/>
      <sheetData sheetId="22882"/>
      <sheetData sheetId="22883"/>
      <sheetData sheetId="22884"/>
      <sheetData sheetId="22885"/>
      <sheetData sheetId="22886"/>
      <sheetData sheetId="22887"/>
      <sheetData sheetId="22888"/>
      <sheetData sheetId="22889"/>
      <sheetData sheetId="22890"/>
      <sheetData sheetId="22891"/>
      <sheetData sheetId="22892"/>
      <sheetData sheetId="22893"/>
      <sheetData sheetId="22894"/>
      <sheetData sheetId="22895"/>
      <sheetData sheetId="22896"/>
      <sheetData sheetId="22897"/>
      <sheetData sheetId="22898"/>
      <sheetData sheetId="22899"/>
      <sheetData sheetId="22900"/>
      <sheetData sheetId="22901"/>
      <sheetData sheetId="22902"/>
      <sheetData sheetId="22903"/>
      <sheetData sheetId="22904"/>
      <sheetData sheetId="22905"/>
      <sheetData sheetId="22906"/>
      <sheetData sheetId="22907"/>
      <sheetData sheetId="22908"/>
      <sheetData sheetId="22909"/>
      <sheetData sheetId="22910"/>
      <sheetData sheetId="22911"/>
      <sheetData sheetId="22912"/>
      <sheetData sheetId="22913"/>
      <sheetData sheetId="22914"/>
      <sheetData sheetId="22915"/>
      <sheetData sheetId="22916"/>
      <sheetData sheetId="22917"/>
      <sheetData sheetId="22918"/>
      <sheetData sheetId="22919"/>
      <sheetData sheetId="22920"/>
      <sheetData sheetId="22921"/>
      <sheetData sheetId="22922"/>
      <sheetData sheetId="22923"/>
      <sheetData sheetId="22924"/>
      <sheetData sheetId="22925"/>
      <sheetData sheetId="22926"/>
      <sheetData sheetId="22927"/>
      <sheetData sheetId="22928"/>
      <sheetData sheetId="22929"/>
      <sheetData sheetId="22930" refreshError="1"/>
      <sheetData sheetId="22931" refreshError="1"/>
      <sheetData sheetId="22932" refreshError="1"/>
      <sheetData sheetId="22933" refreshError="1"/>
      <sheetData sheetId="22934" refreshError="1"/>
      <sheetData sheetId="22935" refreshError="1"/>
      <sheetData sheetId="22936" refreshError="1"/>
      <sheetData sheetId="22937" refreshError="1"/>
      <sheetData sheetId="22938" refreshError="1"/>
      <sheetData sheetId="22939" refreshError="1"/>
      <sheetData sheetId="22940" refreshError="1"/>
      <sheetData sheetId="22941" refreshError="1"/>
      <sheetData sheetId="22942" refreshError="1"/>
      <sheetData sheetId="22943" refreshError="1"/>
      <sheetData sheetId="22944" refreshError="1"/>
      <sheetData sheetId="22945" refreshError="1"/>
      <sheetData sheetId="22946" refreshError="1"/>
      <sheetData sheetId="22947" refreshError="1"/>
      <sheetData sheetId="22948" refreshError="1"/>
      <sheetData sheetId="22949"/>
      <sheetData sheetId="22950"/>
      <sheetData sheetId="22951"/>
      <sheetData sheetId="22952"/>
      <sheetData sheetId="22953"/>
      <sheetData sheetId="22954"/>
      <sheetData sheetId="22955"/>
      <sheetData sheetId="22956"/>
      <sheetData sheetId="22957"/>
      <sheetData sheetId="22958"/>
      <sheetData sheetId="22959"/>
      <sheetData sheetId="22960"/>
      <sheetData sheetId="22961"/>
      <sheetData sheetId="22962"/>
      <sheetData sheetId="22963"/>
      <sheetData sheetId="22964"/>
      <sheetData sheetId="22965" refreshError="1"/>
      <sheetData sheetId="22966" refreshError="1"/>
      <sheetData sheetId="22967" refreshError="1"/>
      <sheetData sheetId="22968" refreshError="1"/>
      <sheetData sheetId="22969" refreshError="1"/>
      <sheetData sheetId="22970" refreshError="1"/>
      <sheetData sheetId="22971" refreshError="1"/>
      <sheetData sheetId="22972" refreshError="1"/>
      <sheetData sheetId="22973" refreshError="1"/>
      <sheetData sheetId="22974" refreshError="1"/>
      <sheetData sheetId="22975" refreshError="1"/>
      <sheetData sheetId="22976" refreshError="1"/>
      <sheetData sheetId="22977" refreshError="1"/>
      <sheetData sheetId="22978" refreshError="1"/>
      <sheetData sheetId="22979" refreshError="1"/>
      <sheetData sheetId="22980" refreshError="1"/>
      <sheetData sheetId="22981" refreshError="1"/>
      <sheetData sheetId="22982" refreshError="1"/>
      <sheetData sheetId="22983" refreshError="1"/>
      <sheetData sheetId="22984" refreshError="1"/>
      <sheetData sheetId="22985" refreshError="1"/>
      <sheetData sheetId="22986" refreshError="1"/>
      <sheetData sheetId="22987" refreshError="1"/>
      <sheetData sheetId="22988" refreshError="1"/>
      <sheetData sheetId="22989" refreshError="1"/>
      <sheetData sheetId="22990" refreshError="1"/>
      <sheetData sheetId="22991" refreshError="1"/>
      <sheetData sheetId="22992" refreshError="1"/>
      <sheetData sheetId="22993" refreshError="1"/>
      <sheetData sheetId="22994" refreshError="1"/>
      <sheetData sheetId="22995" refreshError="1"/>
      <sheetData sheetId="22996" refreshError="1"/>
      <sheetData sheetId="22997" refreshError="1"/>
      <sheetData sheetId="22998" refreshError="1"/>
      <sheetData sheetId="22999" refreshError="1"/>
      <sheetData sheetId="23000" refreshError="1"/>
      <sheetData sheetId="23001" refreshError="1"/>
      <sheetData sheetId="23002" refreshError="1"/>
      <sheetData sheetId="23003" refreshError="1"/>
      <sheetData sheetId="23004" refreshError="1"/>
      <sheetData sheetId="23005" refreshError="1"/>
      <sheetData sheetId="23006" refreshError="1"/>
      <sheetData sheetId="23007" refreshError="1"/>
      <sheetData sheetId="23008" refreshError="1"/>
      <sheetData sheetId="23009" refreshError="1"/>
      <sheetData sheetId="23010" refreshError="1"/>
      <sheetData sheetId="23011" refreshError="1"/>
      <sheetData sheetId="23012" refreshError="1"/>
      <sheetData sheetId="23013" refreshError="1"/>
      <sheetData sheetId="23014" refreshError="1"/>
      <sheetData sheetId="23015" refreshError="1"/>
      <sheetData sheetId="23016" refreshError="1"/>
      <sheetData sheetId="23017" refreshError="1"/>
      <sheetData sheetId="23018" refreshError="1"/>
      <sheetData sheetId="23019" refreshError="1"/>
      <sheetData sheetId="23020" refreshError="1"/>
      <sheetData sheetId="23021" refreshError="1"/>
      <sheetData sheetId="23022" refreshError="1"/>
      <sheetData sheetId="23023" refreshError="1"/>
      <sheetData sheetId="23024" refreshError="1"/>
      <sheetData sheetId="23025" refreshError="1"/>
      <sheetData sheetId="23026" refreshError="1"/>
      <sheetData sheetId="23027" refreshError="1"/>
      <sheetData sheetId="23028" refreshError="1"/>
      <sheetData sheetId="23029" refreshError="1"/>
      <sheetData sheetId="23030" refreshError="1"/>
      <sheetData sheetId="23031" refreshError="1"/>
      <sheetData sheetId="23032" refreshError="1"/>
      <sheetData sheetId="23033" refreshError="1"/>
      <sheetData sheetId="230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2)"/>
      <sheetName val="fRONT"/>
      <sheetName val="B-1"/>
      <sheetName val="B-2"/>
      <sheetName val="B-3.1 EB"/>
      <sheetName val="3.1 Sum"/>
      <sheetName val="B-3.2 EB"/>
      <sheetName val="B-3.2 Sum"/>
      <sheetName val="B-4.1 NB"/>
      <sheetName val="B-4.1 Sum"/>
      <sheetName val="B-4.2 NB"/>
      <sheetName val="B-4.2 Sum"/>
      <sheetName val="5-PS"/>
      <sheetName val="Main summary"/>
      <sheetName val="floor area"/>
      <sheetName val="ratio"/>
      <sheetName val="Sheet1"/>
      <sheetName val="FitOutConfCentre"/>
      <sheetName val="PLT-SU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ANALISYS"/>
      <sheetName val="mat."/>
      <sheetName val="dem"/>
      <sheetName val="exc"/>
      <sheetName val="con"/>
      <sheetName val="bk.wk"/>
      <sheetName val="mason"/>
      <sheetName val="pavi"/>
      <sheetName val="roof"/>
      <sheetName val="carp"/>
      <sheetName val="iron"/>
      <sheetName val="brass"/>
      <sheetName val="plast"/>
      <sheetName val="tink"/>
      <sheetName val="glaz"/>
      <sheetName val="paint"/>
      <sheetName val="plum"/>
      <sheetName val="drain"/>
      <sheetName val="alumi"/>
      <sheetName val="elect"/>
      <sheetName val="mis"/>
      <sheetName val="ANALISYS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FP"/>
      <sheetName val="CW Summary"/>
      <sheetName val="Bill 3 - Site Works"/>
      <sheetName val="Bill 4 - Mntc Shed"/>
      <sheetName val="Bill 5 - Magic planet"/>
      <sheetName val="Bill 6 - Mall Enh"/>
      <sheetName val="Bill 7 - Anchor store"/>
      <sheetName val="V.O Log"/>
      <sheetName val="MoS- Summary"/>
      <sheetName val="Mat'ls Unfixed - Elec"/>
      <sheetName val="Sheet1"/>
      <sheetName val="FitOutConfCentre"/>
      <sheetName val="CW_Summary"/>
      <sheetName val="Bill_3_-_Site_Works"/>
      <sheetName val="Bill_4_-_Mntc_Shed"/>
      <sheetName val="Bill_5_-_Magic_planet"/>
      <sheetName val="Bill_6_-_Mall_Enh"/>
      <sheetName val="Bill_7_-_Anchor_store"/>
      <sheetName val="V_O_Log"/>
      <sheetName val="MoS-_Summary"/>
      <sheetName val="Mat'ls_Unfixed_-_Elec"/>
      <sheetName val="3"/>
      <sheetName val="CW_Summary1"/>
      <sheetName val="Bill_3_-_Site_Works1"/>
      <sheetName val="Bill_4_-_Mntc_Shed1"/>
      <sheetName val="Bill_5_-_Magic_planet1"/>
      <sheetName val="Bill_6_-_Mall_Enh1"/>
      <sheetName val="Bill_7_-_Anchor_store1"/>
      <sheetName val="V_O_Log1"/>
      <sheetName val="MoS-_Summary1"/>
      <sheetName val="Mat'ls_Unfixed_-_Elec1"/>
      <sheetName val="CW_Summary4"/>
      <sheetName val="Bill_3_-_Site_Works4"/>
      <sheetName val="Bill_4_-_Mntc_Shed4"/>
      <sheetName val="Bill_5_-_Magic_planet4"/>
      <sheetName val="Bill_6_-_Mall_Enh4"/>
      <sheetName val="Bill_7_-_Anchor_store4"/>
      <sheetName val="V_O_Log4"/>
      <sheetName val="MoS-_Summary4"/>
      <sheetName val="Mat'ls_Unfixed_-_Elec4"/>
      <sheetName val="CW_Summary2"/>
      <sheetName val="Bill_3_-_Site_Works2"/>
      <sheetName val="Bill_4_-_Mntc_Shed2"/>
      <sheetName val="Bill_5_-_Magic_planet2"/>
      <sheetName val="Bill_6_-_Mall_Enh2"/>
      <sheetName val="Bill_7_-_Anchor_store2"/>
      <sheetName val="V_O_Log2"/>
      <sheetName val="MoS-_Summary2"/>
      <sheetName val="Mat'ls_Unfixed_-_Elec2"/>
      <sheetName val="CW_Summary3"/>
      <sheetName val="Bill_3_-_Site_Works3"/>
      <sheetName val="Bill_4_-_Mntc_Shed3"/>
      <sheetName val="Bill_5_-_Magic_planet3"/>
      <sheetName val="Bill_6_-_Mall_Enh3"/>
      <sheetName val="Bill_7_-_Anchor_store3"/>
      <sheetName val="V_O_Log3"/>
      <sheetName val="MoS-_Summary3"/>
      <sheetName val="Mat'ls_Unfixed_-_Elec3"/>
      <sheetName val="CW_Summary5"/>
      <sheetName val="Bill_3_-_Site_Works5"/>
      <sheetName val="Bill_4_-_Mntc_Shed5"/>
      <sheetName val="Bill_5_-_Magic_planet5"/>
      <sheetName val="Bill_6_-_Mall_Enh5"/>
      <sheetName val="Bill_7_-_Anchor_store5"/>
      <sheetName val="V_O_Log5"/>
      <sheetName val="MoS-_Summary5"/>
      <sheetName val="Mat'ls_Unfixed_-_Elec5"/>
      <sheetName val="B-2"/>
      <sheetName val="Detail"/>
      <sheetName val="Structure working"/>
      <sheetName val="p&amp;m"/>
      <sheetName val="PRECAST lightconc-II"/>
      <sheetName val="Stru lintel"/>
      <sheetName val="LEVEL SHEET"/>
      <sheetName val="RCC,Ret. Wall"/>
      <sheetName val="Super"/>
      <sheetName val="PDA2"/>
      <sheetName val="Rate Analysis"/>
      <sheetName val="Cash2"/>
      <sheetName val="Z"/>
      <sheetName val="Calendar"/>
      <sheetName val="#REF"/>
      <sheetName val="1-G1"/>
      <sheetName val="10.Linkway"/>
      <sheetName val="11.Bus Shelter-Bay"/>
      <sheetName val="Design"/>
    </sheetNames>
    <sheetDataSet>
      <sheetData sheetId="0" refreshError="1"/>
      <sheetData sheetId="1" refreshError="1"/>
      <sheetData sheetId="2"/>
      <sheetData sheetId="3"/>
      <sheetData sheetId="4"/>
      <sheetData sheetId="5"/>
      <sheetData sheetId="6"/>
      <sheetData sheetId="7"/>
      <sheetData sheetId="8"/>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refreshError="1"/>
      <sheetData sheetId="83" refreshError="1"/>
      <sheetData sheetId="84" refreshError="1"/>
      <sheetData sheetId="8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oom Type"/>
      <sheetName val="Basement2 DB"/>
      <sheetName val="Basement1 DB"/>
      <sheetName val="GF DB"/>
      <sheetName val="1F DB"/>
      <sheetName val="2F DB"/>
      <sheetName val="3F DB"/>
      <sheetName val="4F DB"/>
      <sheetName val="5F DB"/>
      <sheetName val="6-15,18-21F DB"/>
      <sheetName val="16F, 17F DB"/>
      <sheetName val="22F DB"/>
      <sheetName val="23F DB"/>
      <sheetName val="24F DB"/>
      <sheetName val="TX"/>
      <sheetName val="Light Fitting"/>
      <sheetName val="CIDSE"/>
      <sheetName val="GS"/>
      <sheetName val="FitOutConfCentre"/>
      <sheetName val="Schedules"/>
      <sheetName val="Room_Type"/>
      <sheetName val="Basement2_DB"/>
      <sheetName val="Basement1_DB"/>
      <sheetName val="GF_DB"/>
      <sheetName val="1F_DB"/>
      <sheetName val="2F_DB"/>
      <sheetName val="3F_DB"/>
      <sheetName val="4F_DB"/>
      <sheetName val="5F_DB"/>
      <sheetName val="6-15,18-21F_DB"/>
      <sheetName val="16F,_17F_DB"/>
      <sheetName val="22F_DB"/>
      <sheetName val="23F_DB"/>
      <sheetName val="24F_DB"/>
      <sheetName val="Light_Fitting"/>
      <sheetName val="INDEX"/>
      <sheetName val="CONSTANT"/>
      <sheetName val="MixBed"/>
      <sheetName val="JOB COSTING SHEET HVAC"/>
      <sheetName val="Material Prices"/>
      <sheetName val="Kaatsu H.A.M.T.T.C.-7 jan 10"/>
      <sheetName val="BREAKDOWN"/>
      <sheetName val="inWords"/>
      <sheetName val="balan1"/>
      <sheetName val="MCB"/>
      <sheetName val="Electrical"/>
      <sheetName val="Sheet1"/>
      <sheetName val="Factors"/>
      <sheetName val="Bill 5 - Carpark"/>
      <sheetName val="Cost Factor Sheet"/>
      <sheetName val="Load Sch, Cable Sel &amp; Qty"/>
      <sheetName val="Factor Sheet"/>
      <sheetName val="Price Sheet"/>
      <sheetName val="Cost Sheet"/>
      <sheetName val="B-2"/>
      <sheetName val="Bill 3 - Site Works"/>
      <sheetName val="Cover"/>
      <sheetName val="RATE"/>
      <sheetName val="Room_Type1"/>
      <sheetName val="Basement2_DB1"/>
      <sheetName val="Basement1_DB1"/>
      <sheetName val="GF_DB1"/>
      <sheetName val="1F_DB1"/>
      <sheetName val="2F_DB1"/>
      <sheetName val="3F_DB1"/>
      <sheetName val="4F_DB1"/>
      <sheetName val="5F_DB1"/>
      <sheetName val="6-15,18-21F_DB1"/>
      <sheetName val="16F,_17F_DB1"/>
      <sheetName val="22F_DB1"/>
      <sheetName val="23F_DB1"/>
      <sheetName val="24F_DB1"/>
      <sheetName val="Light_Fitting1"/>
      <sheetName val="JOB_COSTING_SHEET_HVAC"/>
      <sheetName val="Kaatsu_H_A_M_T_T_C_-7_jan_10"/>
      <sheetName val="Material_Prices"/>
      <sheetName val="Sheet2"/>
      <sheetName val="Markups"/>
      <sheetName val="M - S"/>
      <sheetName val="Summary"/>
      <sheetName val="Ragama"/>
      <sheetName val="CASH"/>
    </sheetNames>
    <sheetDataSet>
      <sheetData sheetId="0"/>
      <sheetData sheetId="1">
        <row r="2">
          <cell r="M2">
            <v>0.85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sheetData sheetId="21">
        <row r="2">
          <cell r="M2">
            <v>0.85</v>
          </cell>
        </row>
      </sheetData>
      <sheetData sheetId="22">
        <row r="2">
          <cell r="M2">
            <v>0.85</v>
          </cell>
        </row>
      </sheetData>
      <sheetData sheetId="23">
        <row r="2">
          <cell r="M2">
            <v>0.85</v>
          </cell>
        </row>
      </sheetData>
      <sheetData sheetId="24">
        <row r="2">
          <cell r="M2">
            <v>0.85</v>
          </cell>
        </row>
      </sheetData>
      <sheetData sheetId="25">
        <row r="2">
          <cell r="M2">
            <v>0.85</v>
          </cell>
        </row>
      </sheetData>
      <sheetData sheetId="26">
        <row r="2">
          <cell r="M2">
            <v>0.85</v>
          </cell>
        </row>
      </sheetData>
      <sheetData sheetId="27">
        <row r="2">
          <cell r="M2">
            <v>0.85</v>
          </cell>
        </row>
      </sheetData>
      <sheetData sheetId="28">
        <row r="2">
          <cell r="M2">
            <v>0.85</v>
          </cell>
        </row>
      </sheetData>
      <sheetData sheetId="29">
        <row r="2">
          <cell r="M2">
            <v>0.85</v>
          </cell>
        </row>
      </sheetData>
      <sheetData sheetId="30">
        <row r="2">
          <cell r="M2">
            <v>0.85</v>
          </cell>
        </row>
      </sheetData>
      <sheetData sheetId="31">
        <row r="2">
          <cell r="M2">
            <v>0.85</v>
          </cell>
        </row>
      </sheetData>
      <sheetData sheetId="32">
        <row r="2">
          <cell r="M2">
            <v>0.85</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ow r="2">
          <cell r="M2">
            <v>0.85</v>
          </cell>
        </row>
      </sheetData>
      <sheetData sheetId="59">
        <row r="2">
          <cell r="M2">
            <v>0.85</v>
          </cell>
        </row>
      </sheetData>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1"/>
      <sheetName val="B-2"/>
      <sheetName val="S M B-2"/>
      <sheetName val="B-3"/>
      <sheetName val="S M B-3"/>
      <sheetName val="B-4 PS"/>
      <sheetName val="Main summary"/>
      <sheetName val="TDS Summary"/>
      <sheetName val="TDS Finishes"/>
      <sheetName val="Querry"/>
      <sheetName val="B-3.2 EB"/>
      <sheetName val="Tb"/>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2)"/>
      <sheetName val="fRONT"/>
      <sheetName val="B-1"/>
      <sheetName val="B-2"/>
      <sheetName val="B-3.1 EB"/>
      <sheetName val="3.1 Sum"/>
      <sheetName val="B-3.2 EB"/>
      <sheetName val="B-3.2 Sum"/>
      <sheetName val="B-4.1 NB"/>
      <sheetName val="B-4.1 Sum"/>
      <sheetName val="B-4.2 NB"/>
      <sheetName val="B-4.2 Sum"/>
      <sheetName val="5-PS"/>
      <sheetName val="Main summary"/>
      <sheetName val="floor area"/>
      <sheetName val="ratio"/>
      <sheetName val="Sheet1"/>
      <sheetName val="FitOutConfCent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Contents"/>
      <sheetName val="Instructions"/>
      <sheetName val="Rate Analysis"/>
      <sheetName val="Material list no need"/>
      <sheetName val="Measurement sheet"/>
      <sheetName val="BOM"/>
      <sheetName val="BOQ"/>
      <sheetName val="Rate Book"/>
      <sheetName val="Aluminium"/>
      <sheetName val="Material Prices"/>
      <sheetName val="Sheet1"/>
    </sheetNames>
    <sheetDataSet>
      <sheetData sheetId="0"/>
      <sheetData sheetId="1"/>
      <sheetData sheetId="2"/>
      <sheetData sheetId="3"/>
      <sheetData sheetId="4"/>
      <sheetData sheetId="5"/>
      <sheetData sheetId="6"/>
      <sheetData sheetId="7"/>
      <sheetData sheetId="8"/>
      <sheetData sheetId="9"/>
      <sheetData sheetId="10">
        <row r="5">
          <cell r="A5" t="str">
            <v>ITEM</v>
          </cell>
          <cell r="B5" t="str">
            <v>DESCRIPTION</v>
          </cell>
          <cell r="C5" t="str">
            <v>UNIT</v>
          </cell>
          <cell r="D5" t="str">
            <v>MARKETPRICE</v>
          </cell>
          <cell r="E5" t="str">
            <v>TRANSPORTCOST</v>
          </cell>
          <cell r="F5" t="str">
            <v>PROPOSEDRATE</v>
          </cell>
        </row>
        <row r="6">
          <cell r="A6">
            <v>0</v>
          </cell>
          <cell r="B6" t="str">
            <v>LABOUR</v>
          </cell>
          <cell r="C6">
            <v>0</v>
          </cell>
          <cell r="D6">
            <v>0</v>
          </cell>
          <cell r="E6">
            <v>0</v>
          </cell>
          <cell r="F6">
            <v>0</v>
          </cell>
        </row>
        <row r="7">
          <cell r="A7">
            <v>101</v>
          </cell>
          <cell r="B7" t="str">
            <v>Skilled Labour</v>
          </cell>
          <cell r="C7" t="str">
            <v>day</v>
          </cell>
          <cell r="D7">
            <v>1200</v>
          </cell>
          <cell r="E7">
            <v>0</v>
          </cell>
          <cell r="F7">
            <v>1200</v>
          </cell>
        </row>
        <row r="8">
          <cell r="A8">
            <v>102</v>
          </cell>
          <cell r="B8" t="str">
            <v>Semiskilled Labour</v>
          </cell>
          <cell r="C8" t="str">
            <v>day</v>
          </cell>
          <cell r="D8">
            <v>1000</v>
          </cell>
          <cell r="E8">
            <v>0</v>
          </cell>
          <cell r="F8">
            <v>1000</v>
          </cell>
        </row>
        <row r="9">
          <cell r="A9">
            <v>103</v>
          </cell>
          <cell r="B9" t="str">
            <v>Unskilled Labour</v>
          </cell>
          <cell r="C9" t="str">
            <v>day</v>
          </cell>
          <cell r="D9">
            <v>800</v>
          </cell>
          <cell r="E9">
            <v>0</v>
          </cell>
          <cell r="F9">
            <v>800</v>
          </cell>
        </row>
        <row r="10">
          <cell r="A10">
            <v>104</v>
          </cell>
          <cell r="B10" t="str">
            <v>Mason</v>
          </cell>
          <cell r="C10" t="str">
            <v>day</v>
          </cell>
          <cell r="D10">
            <v>1200</v>
          </cell>
          <cell r="E10">
            <v>0</v>
          </cell>
          <cell r="F10">
            <v>1200</v>
          </cell>
        </row>
        <row r="11">
          <cell r="A11">
            <v>105</v>
          </cell>
          <cell r="B11" t="str">
            <v>Carpenter</v>
          </cell>
          <cell r="C11" t="str">
            <v>day</v>
          </cell>
          <cell r="D11">
            <v>1200</v>
          </cell>
          <cell r="E11">
            <v>0</v>
          </cell>
          <cell r="F11">
            <v>1200</v>
          </cell>
        </row>
        <row r="12">
          <cell r="A12">
            <v>106</v>
          </cell>
          <cell r="B12" t="str">
            <v>Plumber</v>
          </cell>
          <cell r="C12" t="str">
            <v>day</v>
          </cell>
          <cell r="D12">
            <v>1200</v>
          </cell>
          <cell r="E12">
            <v>0</v>
          </cell>
          <cell r="F12">
            <v>1200</v>
          </cell>
        </row>
        <row r="13">
          <cell r="A13">
            <v>107</v>
          </cell>
          <cell r="B13" t="str">
            <v>Painter</v>
          </cell>
          <cell r="C13" t="str">
            <v>day</v>
          </cell>
          <cell r="D13">
            <v>1200</v>
          </cell>
          <cell r="E13">
            <v>0</v>
          </cell>
          <cell r="F13">
            <v>1200</v>
          </cell>
        </row>
        <row r="14">
          <cell r="A14">
            <v>108</v>
          </cell>
          <cell r="B14" t="str">
            <v>Welder</v>
          </cell>
          <cell r="C14" t="str">
            <v>day</v>
          </cell>
          <cell r="D14">
            <v>1200</v>
          </cell>
          <cell r="E14">
            <v>0</v>
          </cell>
          <cell r="F14">
            <v>1200</v>
          </cell>
        </row>
        <row r="15">
          <cell r="A15">
            <v>109</v>
          </cell>
          <cell r="B15" t="str">
            <v>Bar Bender</v>
          </cell>
          <cell r="C15" t="str">
            <v>day</v>
          </cell>
          <cell r="D15">
            <v>1200</v>
          </cell>
          <cell r="E15">
            <v>0</v>
          </cell>
          <cell r="F15">
            <v>1200</v>
          </cell>
        </row>
        <row r="16">
          <cell r="A16">
            <v>0</v>
          </cell>
          <cell r="B16" t="str">
            <v>MACHINES</v>
          </cell>
          <cell r="C16">
            <v>0</v>
          </cell>
          <cell r="D16">
            <v>0</v>
          </cell>
          <cell r="E16">
            <v>0</v>
          </cell>
          <cell r="F16">
            <v>0</v>
          </cell>
        </row>
        <row r="17">
          <cell r="A17">
            <v>201</v>
          </cell>
          <cell r="B17" t="str">
            <v>Concrete Mixer</v>
          </cell>
          <cell r="C17" t="str">
            <v>day</v>
          </cell>
          <cell r="D17">
            <v>4500</v>
          </cell>
          <cell r="E17">
            <v>0</v>
          </cell>
          <cell r="F17">
            <v>4500</v>
          </cell>
        </row>
        <row r="18">
          <cell r="A18">
            <v>202</v>
          </cell>
          <cell r="B18" t="str">
            <v>Pocker vibrator</v>
          </cell>
          <cell r="C18" t="str">
            <v>day</v>
          </cell>
          <cell r="D18">
            <v>2000</v>
          </cell>
          <cell r="E18">
            <v>0</v>
          </cell>
          <cell r="F18">
            <v>2000</v>
          </cell>
        </row>
        <row r="19">
          <cell r="A19">
            <v>203</v>
          </cell>
          <cell r="B19" t="str">
            <v xml:space="preserve">   Vibrating roller (one ton)</v>
          </cell>
          <cell r="C19" t="str">
            <v>day</v>
          </cell>
          <cell r="D19">
            <v>4500</v>
          </cell>
          <cell r="E19">
            <v>0</v>
          </cell>
          <cell r="F19">
            <v>4500</v>
          </cell>
        </row>
        <row r="20">
          <cell r="A20">
            <v>204</v>
          </cell>
          <cell r="B20" t="str">
            <v xml:space="preserve">    Tractor</v>
          </cell>
          <cell r="C20" t="str">
            <v>day</v>
          </cell>
          <cell r="D20">
            <v>5000</v>
          </cell>
          <cell r="E20">
            <v>0</v>
          </cell>
          <cell r="F20">
            <v>5000</v>
          </cell>
        </row>
        <row r="21">
          <cell r="A21">
            <v>0</v>
          </cell>
          <cell r="B21">
            <v>0</v>
          </cell>
          <cell r="C21">
            <v>0</v>
          </cell>
          <cell r="D21">
            <v>0</v>
          </cell>
          <cell r="E21">
            <v>0</v>
          </cell>
          <cell r="F21">
            <v>0</v>
          </cell>
        </row>
        <row r="22">
          <cell r="A22">
            <v>0</v>
          </cell>
          <cell r="B22" t="str">
            <v>MATERIALS</v>
          </cell>
          <cell r="C22">
            <v>0</v>
          </cell>
          <cell r="D22">
            <v>0</v>
          </cell>
          <cell r="E22">
            <v>0</v>
          </cell>
          <cell r="F22">
            <v>0</v>
          </cell>
        </row>
        <row r="23">
          <cell r="A23">
            <v>0</v>
          </cell>
          <cell r="B23" t="str">
            <v>Earth Work</v>
          </cell>
          <cell r="C23">
            <v>0</v>
          </cell>
          <cell r="D23">
            <v>0</v>
          </cell>
          <cell r="E23">
            <v>0</v>
          </cell>
          <cell r="F23">
            <v>0</v>
          </cell>
        </row>
        <row r="24">
          <cell r="A24">
            <v>301</v>
          </cell>
          <cell r="B24" t="str">
            <v>Baskets</v>
          </cell>
          <cell r="C24" t="str">
            <v>Nr</v>
          </cell>
          <cell r="D24">
            <v>350</v>
          </cell>
          <cell r="E24">
            <v>0</v>
          </cell>
          <cell r="F24">
            <v>350</v>
          </cell>
        </row>
        <row r="25">
          <cell r="A25">
            <v>302</v>
          </cell>
          <cell r="B25" t="str">
            <v>Gravel</v>
          </cell>
          <cell r="C25" t="str">
            <v>m3</v>
          </cell>
          <cell r="D25">
            <v>265</v>
          </cell>
          <cell r="E25">
            <v>0</v>
          </cell>
          <cell r="F25">
            <v>265</v>
          </cell>
        </row>
        <row r="26">
          <cell r="A26">
            <v>303</v>
          </cell>
          <cell r="B26" t="str">
            <v>Earth</v>
          </cell>
          <cell r="C26" t="str">
            <v>m3</v>
          </cell>
          <cell r="D26">
            <v>124</v>
          </cell>
          <cell r="E26">
            <v>0</v>
          </cell>
          <cell r="F26">
            <v>124</v>
          </cell>
        </row>
        <row r="27">
          <cell r="A27">
            <v>304</v>
          </cell>
          <cell r="B27" t="str">
            <v>Blasting powder</v>
          </cell>
          <cell r="C27" t="str">
            <v>kg</v>
          </cell>
          <cell r="D27">
            <v>650</v>
          </cell>
          <cell r="E27">
            <v>6.5</v>
          </cell>
          <cell r="F27">
            <v>657</v>
          </cell>
        </row>
        <row r="28">
          <cell r="A28">
            <v>305</v>
          </cell>
          <cell r="B28" t="str">
            <v>Safety fuse</v>
          </cell>
          <cell r="C28" t="str">
            <v>m</v>
          </cell>
          <cell r="D28">
            <v>42.5</v>
          </cell>
          <cell r="E28">
            <v>0.43</v>
          </cell>
          <cell r="F28">
            <v>43</v>
          </cell>
        </row>
        <row r="29">
          <cell r="A29">
            <v>306</v>
          </cell>
          <cell r="B29" t="str">
            <v>Detonators</v>
          </cell>
          <cell r="C29" t="str">
            <v>Nr</v>
          </cell>
          <cell r="D29">
            <v>30.8</v>
          </cell>
          <cell r="E29">
            <v>0.31</v>
          </cell>
          <cell r="F29">
            <v>31</v>
          </cell>
        </row>
        <row r="30">
          <cell r="A30">
            <v>0</v>
          </cell>
          <cell r="B30" t="str">
            <v>Concrete Work</v>
          </cell>
          <cell r="C30">
            <v>0</v>
          </cell>
          <cell r="D30">
            <v>0</v>
          </cell>
          <cell r="E30">
            <v>0</v>
          </cell>
          <cell r="F30">
            <v>0</v>
          </cell>
        </row>
        <row r="31">
          <cell r="A31">
            <v>401</v>
          </cell>
          <cell r="B31" t="str">
            <v>Sand</v>
          </cell>
          <cell r="C31" t="str">
            <v>m3</v>
          </cell>
          <cell r="D31">
            <v>2826</v>
          </cell>
          <cell r="E31">
            <v>0</v>
          </cell>
          <cell r="F31">
            <v>2826</v>
          </cell>
        </row>
        <row r="32">
          <cell r="A32">
            <v>402</v>
          </cell>
          <cell r="B32" t="str">
            <v>Cement</v>
          </cell>
          <cell r="C32" t="str">
            <v>bag</v>
          </cell>
          <cell r="D32">
            <v>810</v>
          </cell>
          <cell r="E32">
            <v>0</v>
          </cell>
          <cell r="F32">
            <v>810</v>
          </cell>
        </row>
        <row r="33">
          <cell r="A33">
            <v>403</v>
          </cell>
          <cell r="B33" t="str">
            <v>Metal 50mm</v>
          </cell>
          <cell r="C33" t="str">
            <v>m3</v>
          </cell>
          <cell r="D33">
            <v>1770</v>
          </cell>
          <cell r="E33">
            <v>0</v>
          </cell>
          <cell r="F33">
            <v>1770</v>
          </cell>
        </row>
        <row r="34">
          <cell r="A34">
            <v>404</v>
          </cell>
          <cell r="B34" t="str">
            <v>Metal 38mm</v>
          </cell>
          <cell r="C34" t="str">
            <v>m3</v>
          </cell>
          <cell r="D34">
            <v>1838</v>
          </cell>
          <cell r="E34">
            <v>0</v>
          </cell>
          <cell r="F34">
            <v>1838</v>
          </cell>
        </row>
        <row r="35">
          <cell r="A35">
            <v>405</v>
          </cell>
          <cell r="B35" t="str">
            <v>Metal 25mm</v>
          </cell>
          <cell r="C35" t="str">
            <v>m3</v>
          </cell>
          <cell r="D35">
            <v>1945</v>
          </cell>
          <cell r="E35">
            <v>0</v>
          </cell>
          <cell r="F35">
            <v>1945</v>
          </cell>
        </row>
        <row r="36">
          <cell r="A36">
            <v>406</v>
          </cell>
          <cell r="B36" t="str">
            <v>Metal 20mm</v>
          </cell>
          <cell r="C36" t="str">
            <v>m3</v>
          </cell>
          <cell r="D36">
            <v>2050</v>
          </cell>
          <cell r="E36">
            <v>0</v>
          </cell>
          <cell r="F36">
            <v>2050</v>
          </cell>
        </row>
        <row r="37">
          <cell r="A37">
            <v>407</v>
          </cell>
          <cell r="B37" t="str">
            <v>Metal 12.5mm</v>
          </cell>
          <cell r="C37" t="str">
            <v>m3</v>
          </cell>
          <cell r="D37">
            <v>1485</v>
          </cell>
          <cell r="E37">
            <v>0</v>
          </cell>
          <cell r="F37">
            <v>1485</v>
          </cell>
        </row>
        <row r="38">
          <cell r="A38">
            <v>0</v>
          </cell>
          <cell r="B38" t="str">
            <v>Formwork</v>
          </cell>
          <cell r="C38">
            <v>0</v>
          </cell>
          <cell r="D38">
            <v>0</v>
          </cell>
          <cell r="E38">
            <v>0</v>
          </cell>
          <cell r="F38">
            <v>0</v>
          </cell>
        </row>
        <row r="39">
          <cell r="A39">
            <v>501</v>
          </cell>
          <cell r="B39" t="str">
            <v>Shuttering planks - 25mm thick</v>
          </cell>
          <cell r="C39" t="str">
            <v>m2</v>
          </cell>
          <cell r="D39">
            <v>444</v>
          </cell>
          <cell r="E39">
            <v>4.4400000000000004</v>
          </cell>
          <cell r="F39">
            <v>448.5</v>
          </cell>
        </row>
        <row r="40">
          <cell r="A40">
            <v>502</v>
          </cell>
          <cell r="B40" t="str">
            <v>Plywood sheets - 20mm thick</v>
          </cell>
          <cell r="C40" t="str">
            <v>m2</v>
          </cell>
          <cell r="D40">
            <v>1043</v>
          </cell>
          <cell r="E40">
            <v>10.43</v>
          </cell>
          <cell r="F40">
            <v>1053.5</v>
          </cell>
        </row>
        <row r="41">
          <cell r="A41">
            <v>503</v>
          </cell>
          <cell r="B41" t="str">
            <v>Round timber 3m</v>
          </cell>
          <cell r="C41" t="str">
            <v>Nr</v>
          </cell>
          <cell r="D41">
            <v>60</v>
          </cell>
          <cell r="E41">
            <v>0.6</v>
          </cell>
          <cell r="F41">
            <v>60.5</v>
          </cell>
        </row>
        <row r="42">
          <cell r="A42">
            <v>504</v>
          </cell>
          <cell r="B42" t="str">
            <v>Bamboo 3m</v>
          </cell>
          <cell r="C42" t="str">
            <v>Nr</v>
          </cell>
          <cell r="D42">
            <v>60</v>
          </cell>
          <cell r="E42">
            <v>0.6</v>
          </cell>
          <cell r="F42">
            <v>60.6</v>
          </cell>
        </row>
        <row r="43">
          <cell r="A43">
            <v>505</v>
          </cell>
          <cell r="B43" t="str">
            <v>100mmx50mm class II timber</v>
          </cell>
          <cell r="C43" t="str">
            <v>m</v>
          </cell>
          <cell r="D43">
            <v>193.2</v>
          </cell>
          <cell r="E43">
            <v>1.93</v>
          </cell>
          <cell r="F43">
            <v>195</v>
          </cell>
        </row>
        <row r="44">
          <cell r="A44">
            <v>506</v>
          </cell>
          <cell r="B44" t="str">
            <v>50mmx50mm class II timber</v>
          </cell>
          <cell r="C44" t="str">
            <v>m</v>
          </cell>
          <cell r="D44">
            <v>109</v>
          </cell>
          <cell r="E44">
            <v>1.0900000000000001</v>
          </cell>
          <cell r="F44">
            <v>110</v>
          </cell>
        </row>
        <row r="45">
          <cell r="A45">
            <v>507</v>
          </cell>
          <cell r="B45" t="str">
            <v>Nail</v>
          </cell>
          <cell r="C45" t="str">
            <v>kg</v>
          </cell>
          <cell r="D45">
            <v>125</v>
          </cell>
          <cell r="E45">
            <v>1.25</v>
          </cell>
          <cell r="F45">
            <v>126.5</v>
          </cell>
        </row>
        <row r="46">
          <cell r="A46">
            <v>508</v>
          </cell>
          <cell r="B46" t="str">
            <v>Mould oil</v>
          </cell>
          <cell r="C46" t="str">
            <v>l</v>
          </cell>
          <cell r="D46">
            <v>89</v>
          </cell>
          <cell r="E46">
            <v>0.89</v>
          </cell>
          <cell r="F46">
            <v>90</v>
          </cell>
        </row>
        <row r="47">
          <cell r="A47">
            <v>509</v>
          </cell>
          <cell r="B47" t="str">
            <v>10mm dia. 450mm bolts</v>
          </cell>
          <cell r="C47" t="str">
            <v>Nr</v>
          </cell>
          <cell r="D47">
            <v>68</v>
          </cell>
          <cell r="E47">
            <v>0.68</v>
          </cell>
          <cell r="F47">
            <v>69</v>
          </cell>
        </row>
        <row r="48">
          <cell r="A48">
            <v>0</v>
          </cell>
          <cell r="B48" t="str">
            <v>Reinforcement</v>
          </cell>
          <cell r="C48">
            <v>0</v>
          </cell>
          <cell r="D48">
            <v>0</v>
          </cell>
          <cell r="E48">
            <v>0</v>
          </cell>
          <cell r="F48">
            <v>0</v>
          </cell>
        </row>
        <row r="49">
          <cell r="A49">
            <v>601</v>
          </cell>
          <cell r="B49" t="str">
            <v>Steel  MS - 6mm</v>
          </cell>
          <cell r="C49" t="str">
            <v>kg</v>
          </cell>
          <cell r="D49">
            <v>78.400000000000006</v>
          </cell>
          <cell r="E49">
            <v>1.57</v>
          </cell>
          <cell r="F49">
            <v>80</v>
          </cell>
        </row>
        <row r="50">
          <cell r="A50">
            <v>602</v>
          </cell>
          <cell r="B50" t="str">
            <v>Steel  MS - &gt;6mm</v>
          </cell>
          <cell r="C50" t="str">
            <v>kg</v>
          </cell>
          <cell r="D50">
            <v>113</v>
          </cell>
          <cell r="E50">
            <v>2.2599999999999998</v>
          </cell>
          <cell r="F50">
            <v>115.5</v>
          </cell>
        </row>
        <row r="51">
          <cell r="A51">
            <v>603</v>
          </cell>
          <cell r="B51" t="str">
            <v>Steel  TS</v>
          </cell>
          <cell r="C51" t="str">
            <v>kg</v>
          </cell>
          <cell r="D51">
            <v>112</v>
          </cell>
          <cell r="E51">
            <v>2.2400000000000002</v>
          </cell>
          <cell r="F51">
            <v>114</v>
          </cell>
        </row>
        <row r="52">
          <cell r="A52">
            <v>604</v>
          </cell>
          <cell r="B52" t="str">
            <v>Binding wire</v>
          </cell>
          <cell r="C52" t="str">
            <v>kg</v>
          </cell>
          <cell r="D52">
            <v>130</v>
          </cell>
          <cell r="E52">
            <v>2.6</v>
          </cell>
          <cell r="F52">
            <v>132</v>
          </cell>
        </row>
        <row r="53">
          <cell r="A53">
            <v>0</v>
          </cell>
          <cell r="B53" t="str">
            <v>Brick Work</v>
          </cell>
          <cell r="C53">
            <v>0</v>
          </cell>
          <cell r="D53">
            <v>0</v>
          </cell>
          <cell r="E53">
            <v>0</v>
          </cell>
          <cell r="F53">
            <v>0</v>
          </cell>
        </row>
        <row r="54">
          <cell r="A54">
            <v>701</v>
          </cell>
          <cell r="B54" t="str">
            <v>Bricks 220x105x65mm</v>
          </cell>
          <cell r="C54" t="str">
            <v>Nr</v>
          </cell>
          <cell r="D54">
            <v>4.5</v>
          </cell>
          <cell r="E54">
            <v>0</v>
          </cell>
          <cell r="F54">
            <v>4.5</v>
          </cell>
        </row>
        <row r="55">
          <cell r="A55">
            <v>702</v>
          </cell>
          <cell r="B55" t="str">
            <v>Wire cut bricks</v>
          </cell>
          <cell r="C55" t="str">
            <v>Nr</v>
          </cell>
          <cell r="D55">
            <v>18</v>
          </cell>
          <cell r="E55">
            <v>0</v>
          </cell>
          <cell r="F55">
            <v>18</v>
          </cell>
        </row>
        <row r="56">
          <cell r="A56">
            <v>703</v>
          </cell>
          <cell r="B56" t="str">
            <v>Batik bricks</v>
          </cell>
          <cell r="C56" t="str">
            <v>Nr</v>
          </cell>
          <cell r="D56">
            <v>22</v>
          </cell>
          <cell r="E56">
            <v>0</v>
          </cell>
          <cell r="F56">
            <v>22</v>
          </cell>
        </row>
        <row r="57">
          <cell r="A57">
            <v>704</v>
          </cell>
          <cell r="B57" t="str">
            <v>Bricks 220x105x100mm</v>
          </cell>
          <cell r="C57" t="str">
            <v>Nr</v>
          </cell>
          <cell r="D57">
            <v>10</v>
          </cell>
          <cell r="E57">
            <v>0</v>
          </cell>
          <cell r="F57">
            <v>10</v>
          </cell>
        </row>
        <row r="58">
          <cell r="A58">
            <v>705</v>
          </cell>
          <cell r="B58" t="str">
            <v>Bricks 220x150x100mm</v>
          </cell>
          <cell r="C58" t="str">
            <v>Nr</v>
          </cell>
          <cell r="D58">
            <v>12.5</v>
          </cell>
          <cell r="E58">
            <v>0</v>
          </cell>
          <cell r="F58">
            <v>12.5</v>
          </cell>
        </row>
        <row r="59">
          <cell r="A59">
            <v>0</v>
          </cell>
          <cell r="B59" t="str">
            <v>Masonry</v>
          </cell>
          <cell r="C59">
            <v>0</v>
          </cell>
          <cell r="D59">
            <v>0</v>
          </cell>
          <cell r="E59">
            <v>0</v>
          </cell>
          <cell r="F59">
            <v>0</v>
          </cell>
        </row>
        <row r="60">
          <cell r="A60">
            <v>801</v>
          </cell>
          <cell r="B60" t="str">
            <v>150x225mm rubble</v>
          </cell>
          <cell r="C60" t="str">
            <v>m3</v>
          </cell>
          <cell r="D60">
            <v>700</v>
          </cell>
          <cell r="E60">
            <v>0</v>
          </cell>
          <cell r="F60">
            <v>700</v>
          </cell>
        </row>
        <row r="61">
          <cell r="A61">
            <v>802</v>
          </cell>
          <cell r="B61" t="str">
            <v>DPC Tar</v>
          </cell>
          <cell r="C61" t="str">
            <v>l</v>
          </cell>
          <cell r="D61">
            <v>96</v>
          </cell>
          <cell r="E61">
            <v>0.96</v>
          </cell>
          <cell r="F61">
            <v>97</v>
          </cell>
        </row>
        <row r="62">
          <cell r="A62">
            <v>0</v>
          </cell>
          <cell r="B62" t="str">
            <v>Pavior</v>
          </cell>
          <cell r="C62">
            <v>0</v>
          </cell>
          <cell r="D62">
            <v>0</v>
          </cell>
          <cell r="E62">
            <v>0</v>
          </cell>
          <cell r="F62">
            <v>0</v>
          </cell>
        </row>
        <row r="63">
          <cell r="A63">
            <v>901</v>
          </cell>
          <cell r="B63" t="str">
            <v>Antitermite treatment - Sub contractors rate</v>
          </cell>
          <cell r="C63" t="str">
            <v>m2</v>
          </cell>
          <cell r="D63">
            <v>269</v>
          </cell>
          <cell r="E63">
            <v>0</v>
          </cell>
          <cell r="F63">
            <v>269</v>
          </cell>
        </row>
        <row r="64">
          <cell r="A64">
            <v>902</v>
          </cell>
          <cell r="B64" t="str">
            <v>Water proofing - Sub contractors rate</v>
          </cell>
          <cell r="C64" t="str">
            <v>m2</v>
          </cell>
          <cell r="D64">
            <v>1126</v>
          </cell>
          <cell r="E64">
            <v>0</v>
          </cell>
          <cell r="F64">
            <v>1126</v>
          </cell>
        </row>
        <row r="65">
          <cell r="A65">
            <v>903</v>
          </cell>
          <cell r="B65" t="str">
            <v>Gauge 1000 polythene</v>
          </cell>
          <cell r="C65" t="str">
            <v>m2</v>
          </cell>
          <cell r="D65">
            <v>66</v>
          </cell>
          <cell r="E65">
            <v>0.66</v>
          </cell>
          <cell r="F65">
            <v>66.66</v>
          </cell>
        </row>
        <row r="66">
          <cell r="A66">
            <v>904</v>
          </cell>
          <cell r="B66" t="str">
            <v>Crystaline waterproofing material (XYPEX concentrate)</v>
          </cell>
          <cell r="C66" t="str">
            <v>kg</v>
          </cell>
          <cell r="D66">
            <v>1065</v>
          </cell>
          <cell r="E66">
            <v>0</v>
          </cell>
          <cell r="F66">
            <v>1065</v>
          </cell>
        </row>
        <row r="67">
          <cell r="A67">
            <v>0</v>
          </cell>
          <cell r="B67" t="str">
            <v>Tiller</v>
          </cell>
          <cell r="C67">
            <v>0</v>
          </cell>
          <cell r="D67">
            <v>0</v>
          </cell>
          <cell r="E67">
            <v>0</v>
          </cell>
          <cell r="F67">
            <v>0</v>
          </cell>
        </row>
        <row r="68">
          <cell r="A68">
            <v>1001</v>
          </cell>
          <cell r="B68" t="str">
            <v>100x100 glazed wall tiles</v>
          </cell>
          <cell r="C68" t="str">
            <v>Nr</v>
          </cell>
          <cell r="D68">
            <v>14</v>
          </cell>
          <cell r="E68">
            <v>0.14000000000000001</v>
          </cell>
          <cell r="F68">
            <v>14.5</v>
          </cell>
        </row>
        <row r="69">
          <cell r="A69">
            <v>1002</v>
          </cell>
          <cell r="B69" t="str">
            <v>150x150 glazed wall tiles</v>
          </cell>
          <cell r="C69" t="str">
            <v>Nr</v>
          </cell>
          <cell r="D69">
            <v>26</v>
          </cell>
          <cell r="E69">
            <v>0.26</v>
          </cell>
          <cell r="F69">
            <v>26.5</v>
          </cell>
        </row>
        <row r="70">
          <cell r="A70">
            <v>1003</v>
          </cell>
          <cell r="B70" t="str">
            <v>200x300 glazed wall tiles</v>
          </cell>
          <cell r="C70" t="str">
            <v>Nr</v>
          </cell>
          <cell r="D70">
            <v>80</v>
          </cell>
          <cell r="E70">
            <v>0.8</v>
          </cell>
          <cell r="F70">
            <v>81</v>
          </cell>
        </row>
        <row r="71">
          <cell r="A71">
            <v>1004</v>
          </cell>
          <cell r="B71" t="str">
            <v>300x400 glazed wall tiles</v>
          </cell>
          <cell r="C71" t="str">
            <v>Nr</v>
          </cell>
          <cell r="D71">
            <v>196</v>
          </cell>
          <cell r="E71">
            <v>1.96</v>
          </cell>
          <cell r="F71">
            <v>198</v>
          </cell>
        </row>
        <row r="72">
          <cell r="A72">
            <v>1005</v>
          </cell>
          <cell r="B72" t="str">
            <v>200x200 non skid floor tiles</v>
          </cell>
          <cell r="C72" t="str">
            <v>Nr</v>
          </cell>
          <cell r="D72">
            <v>63</v>
          </cell>
          <cell r="E72">
            <v>0.63</v>
          </cell>
          <cell r="F72">
            <v>63.63</v>
          </cell>
        </row>
        <row r="73">
          <cell r="A73">
            <v>1006</v>
          </cell>
          <cell r="B73" t="str">
            <v>300x300 non skid floor tiles</v>
          </cell>
          <cell r="C73" t="str">
            <v>Nr</v>
          </cell>
          <cell r="D73">
            <v>165</v>
          </cell>
          <cell r="E73">
            <v>1.65</v>
          </cell>
          <cell r="F73">
            <v>134</v>
          </cell>
        </row>
        <row r="74">
          <cell r="A74">
            <v>1007</v>
          </cell>
          <cell r="B74" t="str">
            <v>450x450 non skid floor tiles</v>
          </cell>
          <cell r="C74" t="str">
            <v>Nr</v>
          </cell>
          <cell r="D74">
            <v>294</v>
          </cell>
          <cell r="E74">
            <v>2.94</v>
          </cell>
          <cell r="F74">
            <v>297</v>
          </cell>
        </row>
        <row r="75">
          <cell r="A75">
            <v>1008</v>
          </cell>
          <cell r="B75" t="str">
            <v>200x200 non skid floor tiles - Homogeneous</v>
          </cell>
          <cell r="C75" t="str">
            <v>Nr</v>
          </cell>
          <cell r="D75">
            <v>74</v>
          </cell>
          <cell r="E75">
            <v>0.74</v>
          </cell>
          <cell r="F75">
            <v>75</v>
          </cell>
        </row>
        <row r="76">
          <cell r="A76">
            <v>1009</v>
          </cell>
          <cell r="B76" t="str">
            <v>300x300 non skid floor tiles - Homogeneous</v>
          </cell>
          <cell r="C76" t="str">
            <v>Nr</v>
          </cell>
          <cell r="D76">
            <v>297</v>
          </cell>
          <cell r="E76">
            <v>2.97</v>
          </cell>
          <cell r="F76">
            <v>146.5</v>
          </cell>
        </row>
        <row r="77">
          <cell r="A77">
            <v>1010</v>
          </cell>
          <cell r="B77" t="str">
            <v>400x400 non skid floor tiles - Homogeneous</v>
          </cell>
          <cell r="C77" t="str">
            <v>Nr</v>
          </cell>
          <cell r="D77">
            <v>475</v>
          </cell>
          <cell r="E77">
            <v>4.75</v>
          </cell>
          <cell r="F77">
            <v>283</v>
          </cell>
        </row>
        <row r="78">
          <cell r="A78">
            <v>1011</v>
          </cell>
          <cell r="B78" t="str">
            <v>PVC tile beading</v>
          </cell>
          <cell r="C78" t="str">
            <v>m</v>
          </cell>
          <cell r="D78">
            <v>35</v>
          </cell>
          <cell r="E78">
            <v>0.35</v>
          </cell>
          <cell r="F78">
            <v>35.5</v>
          </cell>
        </row>
        <row r="79">
          <cell r="A79">
            <v>1012</v>
          </cell>
          <cell r="B79" t="str">
            <v>Stainless steel tile beading</v>
          </cell>
          <cell r="C79" t="str">
            <v>m</v>
          </cell>
          <cell r="D79">
            <v>0</v>
          </cell>
          <cell r="E79">
            <v>0</v>
          </cell>
          <cell r="F79">
            <v>0</v>
          </cell>
        </row>
        <row r="80">
          <cell r="A80">
            <v>1013</v>
          </cell>
          <cell r="B80" t="str">
            <v>non skid homogenous floor tiles quality 3</v>
          </cell>
          <cell r="C80" t="str">
            <v>m2</v>
          </cell>
          <cell r="D80">
            <v>1500</v>
          </cell>
          <cell r="E80">
            <v>15</v>
          </cell>
          <cell r="F80">
            <v>1515</v>
          </cell>
        </row>
        <row r="81">
          <cell r="A81">
            <v>1014</v>
          </cell>
          <cell r="B81" t="str">
            <v>non skid homogenous floor tiles quality 2</v>
          </cell>
          <cell r="C81" t="str">
            <v>m2</v>
          </cell>
          <cell r="D81">
            <v>1850</v>
          </cell>
          <cell r="E81">
            <v>18.5</v>
          </cell>
          <cell r="F81">
            <v>1868.5</v>
          </cell>
        </row>
        <row r="82">
          <cell r="A82">
            <v>1015</v>
          </cell>
          <cell r="B82" t="str">
            <v xml:space="preserve">non skid homogenous floor tiles quality 1 </v>
          </cell>
          <cell r="C82" t="str">
            <v>m2</v>
          </cell>
          <cell r="D82">
            <v>2425</v>
          </cell>
          <cell r="E82">
            <v>24.25</v>
          </cell>
          <cell r="F82">
            <v>2449.25</v>
          </cell>
        </row>
        <row r="83">
          <cell r="A83">
            <v>1016</v>
          </cell>
          <cell r="B83" t="str">
            <v>glazed wall tiles quality 1</v>
          </cell>
          <cell r="C83" t="str">
            <v>m2</v>
          </cell>
          <cell r="D83">
            <v>1500</v>
          </cell>
          <cell r="E83">
            <v>15</v>
          </cell>
          <cell r="F83">
            <v>1515</v>
          </cell>
        </row>
        <row r="84">
          <cell r="A84">
            <v>1017</v>
          </cell>
          <cell r="B84" t="str">
            <v xml:space="preserve">100mm high Timber Skirting </v>
          </cell>
          <cell r="C84" t="str">
            <v>m</v>
          </cell>
          <cell r="D84">
            <v>214</v>
          </cell>
          <cell r="E84">
            <v>2.14</v>
          </cell>
          <cell r="F84">
            <v>216.14</v>
          </cell>
        </row>
        <row r="85">
          <cell r="A85">
            <v>1018</v>
          </cell>
          <cell r="B85" t="str">
            <v>600x600 non skid floor tiles - Homogeneous</v>
          </cell>
          <cell r="C85" t="str">
            <v>m2</v>
          </cell>
          <cell r="D85">
            <v>790</v>
          </cell>
          <cell r="E85">
            <v>7.9</v>
          </cell>
          <cell r="F85">
            <v>797.9</v>
          </cell>
        </row>
        <row r="86">
          <cell r="A86">
            <v>1019</v>
          </cell>
          <cell r="B86" t="str">
            <v>600x300 non skid floor tiles - Homogeneous</v>
          </cell>
          <cell r="C86" t="str">
            <v>m2</v>
          </cell>
          <cell r="D86">
            <v>790</v>
          </cell>
          <cell r="E86">
            <v>7.9</v>
          </cell>
          <cell r="F86">
            <v>797.9</v>
          </cell>
        </row>
        <row r="87">
          <cell r="A87">
            <v>0</v>
          </cell>
          <cell r="B87">
            <v>0</v>
          </cell>
          <cell r="C87">
            <v>0</v>
          </cell>
          <cell r="D87">
            <v>0</v>
          </cell>
          <cell r="E87">
            <v>0</v>
          </cell>
          <cell r="F87">
            <v>0</v>
          </cell>
        </row>
        <row r="88">
          <cell r="A88">
            <v>0</v>
          </cell>
          <cell r="B88" t="str">
            <v>Roofer</v>
          </cell>
          <cell r="C88">
            <v>0</v>
          </cell>
          <cell r="D88">
            <v>0</v>
          </cell>
          <cell r="E88">
            <v>0</v>
          </cell>
          <cell r="F88">
            <v>0</v>
          </cell>
        </row>
        <row r="89">
          <cell r="A89">
            <v>1101</v>
          </cell>
          <cell r="B89" t="str">
            <v>Special class timber</v>
          </cell>
          <cell r="C89" t="str">
            <v>m3</v>
          </cell>
          <cell r="D89">
            <v>75987</v>
          </cell>
          <cell r="E89">
            <v>759.87</v>
          </cell>
          <cell r="F89">
            <v>76747</v>
          </cell>
        </row>
        <row r="90">
          <cell r="A90">
            <v>1102</v>
          </cell>
          <cell r="B90" t="str">
            <v>50mmx25mm special class timber</v>
          </cell>
          <cell r="C90" t="str">
            <v>m</v>
          </cell>
          <cell r="D90">
            <v>65.599999999999994</v>
          </cell>
          <cell r="E90">
            <v>0.66</v>
          </cell>
          <cell r="F90">
            <v>66.5</v>
          </cell>
        </row>
        <row r="91">
          <cell r="A91">
            <v>1103</v>
          </cell>
          <cell r="B91" t="str">
            <v>50mmx50mm special class timber</v>
          </cell>
          <cell r="C91" t="str">
            <v>m</v>
          </cell>
          <cell r="D91">
            <v>136.19999999999999</v>
          </cell>
          <cell r="E91">
            <v>1.36</v>
          </cell>
          <cell r="F91">
            <v>137.5</v>
          </cell>
        </row>
        <row r="92">
          <cell r="A92">
            <v>1104</v>
          </cell>
          <cell r="B92" t="str">
            <v>100mmx50mm special class timber</v>
          </cell>
          <cell r="C92" t="str">
            <v>m</v>
          </cell>
          <cell r="D92">
            <v>385.5</v>
          </cell>
          <cell r="E92">
            <v>3.86</v>
          </cell>
          <cell r="F92">
            <v>389.5</v>
          </cell>
        </row>
        <row r="93">
          <cell r="A93">
            <v>1105</v>
          </cell>
          <cell r="B93" t="str">
            <v>100mmx75mm special class timber</v>
          </cell>
          <cell r="C93" t="str">
            <v>m</v>
          </cell>
          <cell r="D93">
            <v>587</v>
          </cell>
          <cell r="E93">
            <v>5.87</v>
          </cell>
          <cell r="F93">
            <v>593</v>
          </cell>
        </row>
        <row r="94">
          <cell r="A94">
            <v>1106</v>
          </cell>
          <cell r="B94" t="str">
            <v>125mmx50mm special class timber</v>
          </cell>
          <cell r="C94" t="str">
            <v>m</v>
          </cell>
          <cell r="D94">
            <v>487.8</v>
          </cell>
          <cell r="E94">
            <v>4.88</v>
          </cell>
          <cell r="F94">
            <v>492.5</v>
          </cell>
        </row>
        <row r="95">
          <cell r="A95">
            <v>1107</v>
          </cell>
          <cell r="B95" t="str">
            <v>125mmx75mm special class timber</v>
          </cell>
          <cell r="C95" t="str">
            <v>m</v>
          </cell>
          <cell r="D95">
            <v>742.9</v>
          </cell>
          <cell r="E95">
            <v>7.43</v>
          </cell>
          <cell r="F95">
            <v>750.5</v>
          </cell>
        </row>
        <row r="96">
          <cell r="A96">
            <v>1108</v>
          </cell>
          <cell r="B96" t="str">
            <v>150mmx50mm special class timber</v>
          </cell>
          <cell r="C96" t="str">
            <v>m</v>
          </cell>
          <cell r="D96">
            <v>589.70000000000005</v>
          </cell>
          <cell r="E96">
            <v>5.9</v>
          </cell>
          <cell r="F96">
            <v>595.5</v>
          </cell>
        </row>
        <row r="97">
          <cell r="A97">
            <v>1109</v>
          </cell>
          <cell r="B97" t="str">
            <v>150mmx75mm special class timber</v>
          </cell>
          <cell r="C97" t="str">
            <v>m</v>
          </cell>
          <cell r="D97">
            <v>901.5</v>
          </cell>
          <cell r="E97">
            <v>9.02</v>
          </cell>
          <cell r="F97">
            <v>910.5</v>
          </cell>
        </row>
        <row r="98">
          <cell r="A98">
            <v>1110</v>
          </cell>
          <cell r="B98" t="str">
            <v>Asbestos sheet</v>
          </cell>
          <cell r="C98" t="str">
            <v>m2</v>
          </cell>
          <cell r="D98">
            <v>440</v>
          </cell>
          <cell r="E98">
            <v>4.4000000000000004</v>
          </cell>
          <cell r="F98">
            <v>444.5</v>
          </cell>
        </row>
        <row r="99">
          <cell r="A99">
            <v>1111</v>
          </cell>
          <cell r="B99" t="str">
            <v>Roofing screws 112mm&amp; washer</v>
          </cell>
          <cell r="C99" t="str">
            <v>Nr</v>
          </cell>
          <cell r="D99">
            <v>20</v>
          </cell>
          <cell r="E99">
            <v>0.2</v>
          </cell>
          <cell r="F99">
            <v>20.5</v>
          </cell>
        </row>
        <row r="100">
          <cell r="A100">
            <v>1112</v>
          </cell>
          <cell r="B100" t="str">
            <v>Wood preservative</v>
          </cell>
          <cell r="C100" t="str">
            <v>l</v>
          </cell>
          <cell r="D100">
            <v>325</v>
          </cell>
          <cell r="E100">
            <v>3.25</v>
          </cell>
          <cell r="F100">
            <v>328.5</v>
          </cell>
        </row>
        <row r="101">
          <cell r="A101">
            <v>1113</v>
          </cell>
          <cell r="B101" t="str">
            <v>J bolt and nut</v>
          </cell>
          <cell r="C101" t="str">
            <v>Nr</v>
          </cell>
          <cell r="D101">
            <v>13</v>
          </cell>
          <cell r="E101">
            <v>0.13</v>
          </cell>
          <cell r="F101">
            <v>13.5</v>
          </cell>
        </row>
        <row r="102">
          <cell r="A102">
            <v>1114</v>
          </cell>
          <cell r="B102" t="str">
            <v xml:space="preserve">12mm bolt and nut </v>
          </cell>
          <cell r="C102" t="str">
            <v>Nr</v>
          </cell>
          <cell r="D102">
            <v>16</v>
          </cell>
          <cell r="E102">
            <v>0.16</v>
          </cell>
          <cell r="F102">
            <v>16.5</v>
          </cell>
        </row>
        <row r="103">
          <cell r="A103">
            <v>1115</v>
          </cell>
          <cell r="B103" t="str">
            <v>50x50x5.8mm angle irons</v>
          </cell>
          <cell r="C103" t="str">
            <v>m</v>
          </cell>
          <cell r="D103">
            <v>467</v>
          </cell>
          <cell r="E103">
            <v>4.67</v>
          </cell>
          <cell r="F103">
            <v>471.5</v>
          </cell>
        </row>
        <row r="104">
          <cell r="A104">
            <v>1116</v>
          </cell>
          <cell r="B104" t="str">
            <v>62.5x62.5x5.8mm angle irons</v>
          </cell>
          <cell r="C104" t="str">
            <v>m</v>
          </cell>
          <cell r="D104">
            <v>608</v>
          </cell>
          <cell r="E104">
            <v>6.08</v>
          </cell>
          <cell r="F104">
            <v>614</v>
          </cell>
        </row>
        <row r="105">
          <cell r="A105">
            <v>1117</v>
          </cell>
          <cell r="B105" t="str">
            <v>75x75x5.8mm angle irons</v>
          </cell>
          <cell r="C105" t="str">
            <v>m</v>
          </cell>
          <cell r="D105">
            <v>825</v>
          </cell>
          <cell r="E105">
            <v>8.25</v>
          </cell>
          <cell r="F105">
            <v>833.5</v>
          </cell>
        </row>
        <row r="106">
          <cell r="A106">
            <v>1118</v>
          </cell>
          <cell r="B106" t="str">
            <v>6'-0" asbestos sheets</v>
          </cell>
          <cell r="C106" t="str">
            <v>Nr</v>
          </cell>
          <cell r="D106">
            <v>820</v>
          </cell>
          <cell r="E106">
            <v>8.1999999999999993</v>
          </cell>
          <cell r="F106">
            <v>828</v>
          </cell>
        </row>
        <row r="107">
          <cell r="A107">
            <v>1119</v>
          </cell>
          <cell r="B107" t="str">
            <v>8'-0" asbestos sheets</v>
          </cell>
          <cell r="C107" t="str">
            <v>Nr</v>
          </cell>
          <cell r="D107">
            <v>1150</v>
          </cell>
          <cell r="E107">
            <v>11.5</v>
          </cell>
          <cell r="F107">
            <v>1161.5</v>
          </cell>
        </row>
        <row r="108">
          <cell r="A108">
            <v>1120</v>
          </cell>
          <cell r="B108" t="str">
            <v>10'-0" asbestos sheets</v>
          </cell>
          <cell r="C108" t="str">
            <v>Nr</v>
          </cell>
          <cell r="D108">
            <v>1360</v>
          </cell>
          <cell r="E108">
            <v>13.6</v>
          </cell>
          <cell r="F108">
            <v>1373.5</v>
          </cell>
        </row>
        <row r="109">
          <cell r="A109">
            <v>1121</v>
          </cell>
          <cell r="B109" t="str">
            <v>12'-0" asbestos sheets</v>
          </cell>
          <cell r="C109" t="str">
            <v>Nr</v>
          </cell>
          <cell r="D109">
            <v>1730</v>
          </cell>
          <cell r="E109">
            <v>17.3</v>
          </cell>
          <cell r="F109">
            <v>1747.5</v>
          </cell>
        </row>
        <row r="110">
          <cell r="A110">
            <v>1122</v>
          </cell>
          <cell r="B110" t="str">
            <v>100x50x2mm "C" channels</v>
          </cell>
          <cell r="C110" t="str">
            <v>m</v>
          </cell>
          <cell r="D110">
            <v>355</v>
          </cell>
          <cell r="E110">
            <v>3.55</v>
          </cell>
          <cell r="F110">
            <v>358.5</v>
          </cell>
        </row>
        <row r="111">
          <cell r="A111">
            <v>1123</v>
          </cell>
          <cell r="B111" t="str">
            <v>0.47mm tk. Zn-alum sheets</v>
          </cell>
          <cell r="C111" t="str">
            <v>m2</v>
          </cell>
          <cell r="D111">
            <v>1078</v>
          </cell>
          <cell r="E111">
            <v>10.78</v>
          </cell>
          <cell r="F111">
            <v>1089</v>
          </cell>
        </row>
        <row r="112">
          <cell r="A112">
            <v>1124</v>
          </cell>
          <cell r="B112" t="str">
            <v>Fasteners</v>
          </cell>
          <cell r="C112" t="str">
            <v>Nr</v>
          </cell>
          <cell r="D112">
            <v>9</v>
          </cell>
          <cell r="E112">
            <v>0.09</v>
          </cell>
          <cell r="F112">
            <v>9</v>
          </cell>
        </row>
        <row r="113">
          <cell r="A113">
            <v>1125</v>
          </cell>
          <cell r="B113" t="str">
            <v>Roof tiles</v>
          </cell>
          <cell r="C113" t="str">
            <v>Nr</v>
          </cell>
          <cell r="D113">
            <v>35</v>
          </cell>
          <cell r="E113">
            <v>0.35</v>
          </cell>
          <cell r="F113">
            <v>35.5</v>
          </cell>
        </row>
        <row r="114">
          <cell r="A114">
            <v>1126</v>
          </cell>
          <cell r="B114" t="str">
            <v>Ridge tiles</v>
          </cell>
          <cell r="C114" t="str">
            <v>Nr</v>
          </cell>
          <cell r="D114">
            <v>45</v>
          </cell>
          <cell r="E114">
            <v>0.45</v>
          </cell>
          <cell r="F114">
            <v>45.5</v>
          </cell>
        </row>
        <row r="115">
          <cell r="A115">
            <v>1127</v>
          </cell>
          <cell r="B115" t="str">
            <v>5mm gusset plate</v>
          </cell>
          <cell r="C115" t="str">
            <v>m2</v>
          </cell>
          <cell r="D115">
            <v>4485</v>
          </cell>
          <cell r="E115">
            <v>44.85</v>
          </cell>
          <cell r="F115">
            <v>4530</v>
          </cell>
        </row>
        <row r="116">
          <cell r="A116">
            <v>1128</v>
          </cell>
          <cell r="B116" t="str">
            <v>Zink Alluminium ridge capping  of girth 470mm</v>
          </cell>
          <cell r="C116" t="str">
            <v>m</v>
          </cell>
          <cell r="D116">
            <v>591</v>
          </cell>
          <cell r="E116">
            <v>5.91</v>
          </cell>
          <cell r="F116">
            <v>597</v>
          </cell>
        </row>
        <row r="117">
          <cell r="A117">
            <v>1129</v>
          </cell>
          <cell r="B117" t="str">
            <v>Asbestos ridges</v>
          </cell>
          <cell r="C117" t="str">
            <v>Set</v>
          </cell>
          <cell r="D117">
            <v>600</v>
          </cell>
          <cell r="E117">
            <v>6</v>
          </cell>
          <cell r="F117">
            <v>606</v>
          </cell>
        </row>
        <row r="118">
          <cell r="A118">
            <v>1130</v>
          </cell>
          <cell r="B118" t="str">
            <v>Lime</v>
          </cell>
          <cell r="C118" t="str">
            <v>kg</v>
          </cell>
          <cell r="D118">
            <v>20</v>
          </cell>
          <cell r="E118">
            <v>0.2</v>
          </cell>
          <cell r="F118">
            <v>20.5</v>
          </cell>
        </row>
        <row r="119">
          <cell r="A119">
            <v>1131</v>
          </cell>
          <cell r="B119" t="str">
            <v>Aluminium foil as heat insulation</v>
          </cell>
          <cell r="C119" t="str">
            <v>m2</v>
          </cell>
          <cell r="D119">
            <v>133</v>
          </cell>
          <cell r="E119">
            <v>1.33</v>
          </cell>
          <cell r="F119">
            <v>134.5</v>
          </cell>
        </row>
        <row r="120">
          <cell r="A120">
            <v>1132</v>
          </cell>
          <cell r="B120" t="str">
            <v>Mesh for foil ( 2"x2")</v>
          </cell>
          <cell r="C120" t="str">
            <v>m2</v>
          </cell>
          <cell r="D120">
            <v>454.9</v>
          </cell>
          <cell r="E120">
            <v>4.55</v>
          </cell>
          <cell r="F120">
            <v>459.5</v>
          </cell>
        </row>
        <row r="121">
          <cell r="A121">
            <v>1133</v>
          </cell>
          <cell r="B121" t="str">
            <v>10mm gusset plate</v>
          </cell>
          <cell r="C121" t="str">
            <v>m2</v>
          </cell>
          <cell r="D121">
            <v>8970</v>
          </cell>
          <cell r="E121">
            <v>89.7</v>
          </cell>
          <cell r="F121">
            <v>9059.5</v>
          </cell>
        </row>
        <row r="122">
          <cell r="A122">
            <v>1134</v>
          </cell>
          <cell r="B122" t="str">
            <v>Truss plate, base plate</v>
          </cell>
          <cell r="C122" t="str">
            <v>m2</v>
          </cell>
          <cell r="D122">
            <v>4300</v>
          </cell>
          <cell r="E122">
            <v>43</v>
          </cell>
          <cell r="F122">
            <v>4343</v>
          </cell>
        </row>
        <row r="123">
          <cell r="A123">
            <v>0</v>
          </cell>
          <cell r="B123" t="str">
            <v>Carpenter and Joiner</v>
          </cell>
          <cell r="C123">
            <v>0</v>
          </cell>
          <cell r="D123">
            <v>0</v>
          </cell>
          <cell r="E123">
            <v>0</v>
          </cell>
          <cell r="F123">
            <v>0</v>
          </cell>
        </row>
        <row r="124">
          <cell r="A124">
            <v>1201</v>
          </cell>
          <cell r="B124" t="str">
            <v>31mm planks special class</v>
          </cell>
          <cell r="C124" t="str">
            <v>m2</v>
          </cell>
          <cell r="D124">
            <v>1841</v>
          </cell>
          <cell r="E124">
            <v>18.41</v>
          </cell>
          <cell r="F124">
            <v>1859.5</v>
          </cell>
        </row>
        <row r="125">
          <cell r="A125">
            <v>1202</v>
          </cell>
          <cell r="B125" t="str">
            <v>25mm planks special class</v>
          </cell>
          <cell r="C125" t="str">
            <v>m2</v>
          </cell>
          <cell r="D125">
            <v>1476.66</v>
          </cell>
          <cell r="E125">
            <v>14.77</v>
          </cell>
          <cell r="F125">
            <v>1491.5</v>
          </cell>
        </row>
        <row r="126">
          <cell r="A126">
            <v>1203</v>
          </cell>
          <cell r="B126" t="str">
            <v>20mm planks special class</v>
          </cell>
          <cell r="C126" t="str">
            <v>m2</v>
          </cell>
          <cell r="D126">
            <v>1181.32</v>
          </cell>
          <cell r="E126">
            <v>11.81</v>
          </cell>
          <cell r="F126">
            <v>1193</v>
          </cell>
        </row>
        <row r="127">
          <cell r="A127">
            <v>1204</v>
          </cell>
          <cell r="B127" t="str">
            <v>20mm thick lunumidella timber</v>
          </cell>
          <cell r="C127" t="str">
            <v>m2</v>
          </cell>
          <cell r="D127">
            <v>700</v>
          </cell>
          <cell r="E127">
            <v>7</v>
          </cell>
          <cell r="F127">
            <v>707</v>
          </cell>
        </row>
        <row r="128">
          <cell r="A128">
            <v>1205</v>
          </cell>
          <cell r="B128" t="str">
            <v>50mm iron screws</v>
          </cell>
          <cell r="C128" t="str">
            <v>Nr</v>
          </cell>
          <cell r="D128">
            <v>2</v>
          </cell>
          <cell r="E128">
            <v>0.02</v>
          </cell>
          <cell r="F128">
            <v>2</v>
          </cell>
        </row>
        <row r="129">
          <cell r="A129">
            <v>1206</v>
          </cell>
          <cell r="B129" t="str">
            <v>G.I. clout nails 20mm</v>
          </cell>
          <cell r="C129" t="str">
            <v>kg</v>
          </cell>
          <cell r="D129">
            <v>300</v>
          </cell>
          <cell r="E129">
            <v>3</v>
          </cell>
          <cell r="F129">
            <v>303</v>
          </cell>
        </row>
        <row r="130">
          <cell r="A130">
            <v>1207</v>
          </cell>
          <cell r="B130" t="str">
            <v>Ceiling sheets</v>
          </cell>
          <cell r="C130" t="str">
            <v>m2</v>
          </cell>
          <cell r="D130">
            <v>263</v>
          </cell>
          <cell r="E130">
            <v>2.63</v>
          </cell>
          <cell r="F130">
            <v>265.5</v>
          </cell>
        </row>
        <row r="131">
          <cell r="A131">
            <v>1208</v>
          </cell>
          <cell r="B131"/>
          <cell r="C131" t="str">
            <v>m</v>
          </cell>
          <cell r="D131">
            <v>49</v>
          </cell>
          <cell r="E131">
            <v>0.49</v>
          </cell>
          <cell r="F131">
            <v>49.5</v>
          </cell>
        </row>
        <row r="132">
          <cell r="A132">
            <v>1209</v>
          </cell>
          <cell r="B132" t="str">
            <v>Moldings</v>
          </cell>
          <cell r="C132" t="str">
            <v>m</v>
          </cell>
          <cell r="D132">
            <v>117</v>
          </cell>
          <cell r="E132">
            <v>1.17</v>
          </cell>
          <cell r="F132">
            <v>118.17</v>
          </cell>
        </row>
        <row r="133">
          <cell r="A133">
            <v>1210</v>
          </cell>
          <cell r="B133" t="str">
            <v>Screws 38mm</v>
          </cell>
          <cell r="C133" t="str">
            <v>Nr</v>
          </cell>
          <cell r="D133">
            <v>1.5</v>
          </cell>
          <cell r="E133">
            <v>0.02</v>
          </cell>
          <cell r="F133">
            <v>1.5</v>
          </cell>
        </row>
        <row r="134">
          <cell r="A134">
            <v>1211</v>
          </cell>
          <cell r="B134" t="str">
            <v>Wooden plugs</v>
          </cell>
          <cell r="C134" t="str">
            <v>Nr</v>
          </cell>
          <cell r="D134">
            <v>5</v>
          </cell>
          <cell r="E134">
            <v>0.05</v>
          </cell>
          <cell r="F134">
            <v>5</v>
          </cell>
        </row>
        <row r="135">
          <cell r="A135">
            <v>1212</v>
          </cell>
          <cell r="B135" t="str">
            <v>Primer</v>
          </cell>
          <cell r="C135" t="str">
            <v>l</v>
          </cell>
          <cell r="D135">
            <v>320</v>
          </cell>
          <cell r="E135">
            <v>3.2</v>
          </cell>
          <cell r="F135">
            <v>323</v>
          </cell>
        </row>
        <row r="136">
          <cell r="A136">
            <v>1213</v>
          </cell>
          <cell r="B136" t="str">
            <v>Emulsion paint</v>
          </cell>
          <cell r="C136" t="str">
            <v>l</v>
          </cell>
          <cell r="D136">
            <v>648</v>
          </cell>
          <cell r="E136">
            <v>6.48</v>
          </cell>
          <cell r="F136">
            <v>654.5</v>
          </cell>
        </row>
        <row r="137">
          <cell r="A137">
            <v>1214</v>
          </cell>
          <cell r="B137" t="str">
            <v>100x75 door/ window frame</v>
          </cell>
          <cell r="C137" t="str">
            <v>m3</v>
          </cell>
          <cell r="D137">
            <v>75987</v>
          </cell>
          <cell r="E137">
            <v>759.87</v>
          </cell>
          <cell r="F137">
            <v>76747</v>
          </cell>
        </row>
        <row r="138">
          <cell r="A138">
            <v>1215</v>
          </cell>
          <cell r="B138" t="str">
            <v>38mm brass screws</v>
          </cell>
          <cell r="C138" t="str">
            <v>Nr</v>
          </cell>
          <cell r="D138">
            <v>5.5</v>
          </cell>
          <cell r="E138">
            <v>0.06</v>
          </cell>
          <cell r="F138">
            <v>5.5</v>
          </cell>
        </row>
        <row r="139">
          <cell r="A139">
            <v>1216</v>
          </cell>
          <cell r="B139" t="str">
            <v>25mm brass screws</v>
          </cell>
          <cell r="C139" t="str">
            <v>Nr</v>
          </cell>
          <cell r="D139">
            <v>3.5</v>
          </cell>
          <cell r="E139">
            <v>0.04</v>
          </cell>
          <cell r="F139">
            <v>3.5</v>
          </cell>
        </row>
        <row r="140">
          <cell r="A140">
            <v>1217</v>
          </cell>
          <cell r="B140" t="str">
            <v>Rawl plugs and screws</v>
          </cell>
          <cell r="C140" t="str">
            <v>Nr</v>
          </cell>
          <cell r="D140">
            <v>2</v>
          </cell>
          <cell r="E140">
            <v>0.02</v>
          </cell>
          <cell r="F140">
            <v>2</v>
          </cell>
        </row>
        <row r="141">
          <cell r="A141">
            <v>1218</v>
          </cell>
          <cell r="B141" t="str">
            <v>100mm brass hinges</v>
          </cell>
          <cell r="C141" t="str">
            <v>pair</v>
          </cell>
          <cell r="D141">
            <v>375</v>
          </cell>
          <cell r="E141">
            <v>3.75</v>
          </cell>
          <cell r="F141">
            <v>379</v>
          </cell>
        </row>
        <row r="142">
          <cell r="A142">
            <v>1219</v>
          </cell>
          <cell r="B142" t="str">
            <v>12x12mm fillets</v>
          </cell>
          <cell r="C142" t="str">
            <v>m</v>
          </cell>
          <cell r="D142">
            <v>5.5</v>
          </cell>
          <cell r="E142">
            <v>0.06</v>
          </cell>
          <cell r="F142">
            <v>5.5</v>
          </cell>
        </row>
        <row r="143">
          <cell r="A143">
            <v>1220</v>
          </cell>
          <cell r="B143" t="str">
            <v>300mm skeleton bolts</v>
          </cell>
          <cell r="C143" t="str">
            <v>Nr</v>
          </cell>
          <cell r="D143">
            <v>78</v>
          </cell>
          <cell r="E143">
            <v>0.78</v>
          </cell>
          <cell r="F143">
            <v>79</v>
          </cell>
        </row>
        <row r="144">
          <cell r="A144">
            <v>1221</v>
          </cell>
          <cell r="B144" t="str">
            <v>38x38mm sash bars</v>
          </cell>
          <cell r="C144" t="str">
            <v>m</v>
          </cell>
          <cell r="D144">
            <v>16</v>
          </cell>
          <cell r="E144">
            <v>0.16</v>
          </cell>
          <cell r="F144">
            <v>16.5</v>
          </cell>
        </row>
        <row r="145">
          <cell r="A145">
            <v>1222</v>
          </cell>
          <cell r="B145" t="str">
            <v>150mm barrel bolts</v>
          </cell>
          <cell r="C145" t="str">
            <v>Nr</v>
          </cell>
          <cell r="D145">
            <v>156</v>
          </cell>
          <cell r="E145">
            <v>1.56</v>
          </cell>
          <cell r="F145">
            <v>157.5</v>
          </cell>
        </row>
        <row r="146">
          <cell r="A146">
            <v>1223</v>
          </cell>
          <cell r="B146" t="str">
            <v>Plywood door sash</v>
          </cell>
          <cell r="C146" t="str">
            <v>Nr</v>
          </cell>
          <cell r="D146">
            <v>2200</v>
          </cell>
          <cell r="E146">
            <v>22</v>
          </cell>
          <cell r="F146">
            <v>2222</v>
          </cell>
        </row>
        <row r="147">
          <cell r="A147">
            <v>1224</v>
          </cell>
          <cell r="B147" t="str">
            <v>Holdfasts</v>
          </cell>
          <cell r="C147" t="str">
            <v>Nr</v>
          </cell>
          <cell r="D147">
            <v>75</v>
          </cell>
          <cell r="E147">
            <v>0.75</v>
          </cell>
          <cell r="F147">
            <v>76</v>
          </cell>
        </row>
        <row r="148">
          <cell r="A148">
            <v>1225</v>
          </cell>
          <cell r="B148" t="str">
            <v>PVC door with frame</v>
          </cell>
          <cell r="C148" t="str">
            <v>Nr</v>
          </cell>
          <cell r="D148">
            <v>4650</v>
          </cell>
          <cell r="E148">
            <v>46.5</v>
          </cell>
          <cell r="F148">
            <v>4696.5</v>
          </cell>
        </row>
        <row r="149">
          <cell r="A149">
            <v>1226</v>
          </cell>
          <cell r="B149" t="str">
            <v>3mm glass plain</v>
          </cell>
          <cell r="C149" t="str">
            <v>m2</v>
          </cell>
          <cell r="D149">
            <v>645</v>
          </cell>
          <cell r="E149">
            <v>6.45</v>
          </cell>
          <cell r="F149">
            <v>651.5</v>
          </cell>
        </row>
        <row r="150">
          <cell r="A150">
            <v>1227</v>
          </cell>
          <cell r="B150" t="str">
            <v>Casement stays</v>
          </cell>
          <cell r="C150" t="str">
            <v>Nr</v>
          </cell>
          <cell r="D150">
            <v>200</v>
          </cell>
          <cell r="E150">
            <v>2</v>
          </cell>
          <cell r="F150">
            <v>202</v>
          </cell>
        </row>
        <row r="151">
          <cell r="A151">
            <v>1228</v>
          </cell>
          <cell r="B151" t="str">
            <v>Casement fasteners</v>
          </cell>
          <cell r="C151" t="str">
            <v>Nr</v>
          </cell>
          <cell r="D151">
            <v>200</v>
          </cell>
          <cell r="E151">
            <v>2</v>
          </cell>
          <cell r="F151">
            <v>202</v>
          </cell>
        </row>
        <row r="152">
          <cell r="A152">
            <v>1229</v>
          </cell>
          <cell r="B152" t="str">
            <v>Class 11 Ginisapu planks 25mm thick</v>
          </cell>
          <cell r="C152" t="str">
            <v>m2</v>
          </cell>
          <cell r="D152">
            <v>1385</v>
          </cell>
          <cell r="E152">
            <v>13.85</v>
          </cell>
          <cell r="F152">
            <v>1399</v>
          </cell>
        </row>
        <row r="153">
          <cell r="A153">
            <v>1230</v>
          </cell>
          <cell r="B153" t="str">
            <v>Brass screw</v>
          </cell>
          <cell r="C153" t="str">
            <v>Nr</v>
          </cell>
          <cell r="D153">
            <v>5.5</v>
          </cell>
          <cell r="E153">
            <v>0.06</v>
          </cell>
          <cell r="F153">
            <v>5.5</v>
          </cell>
        </row>
        <row r="154">
          <cell r="A154">
            <v>1231</v>
          </cell>
          <cell r="B154" t="str">
            <v>Lunumidella timber</v>
          </cell>
          <cell r="C154" t="str">
            <v>m2</v>
          </cell>
          <cell r="D154">
            <v>700</v>
          </cell>
          <cell r="E154">
            <v>7</v>
          </cell>
          <cell r="F154">
            <v>707</v>
          </cell>
        </row>
        <row r="155">
          <cell r="A155">
            <v>1232</v>
          </cell>
          <cell r="B155" t="str">
            <v>12 mm thick flywood sheet</v>
          </cell>
          <cell r="C155" t="str">
            <v>m2</v>
          </cell>
          <cell r="D155">
            <v>875</v>
          </cell>
          <cell r="E155">
            <v>8.75</v>
          </cell>
          <cell r="F155">
            <v>884</v>
          </cell>
        </row>
        <row r="156">
          <cell r="A156">
            <v>1233</v>
          </cell>
          <cell r="B156" t="str">
            <v>G.I. clout nails 38mm</v>
          </cell>
          <cell r="C156" t="str">
            <v>Kg</v>
          </cell>
          <cell r="D156">
            <v>336</v>
          </cell>
          <cell r="E156">
            <v>3.36</v>
          </cell>
          <cell r="F156">
            <v>339.5</v>
          </cell>
        </row>
        <row r="157">
          <cell r="A157">
            <v>1234</v>
          </cell>
          <cell r="B157" t="str">
            <v>31mm planks class 1</v>
          </cell>
          <cell r="C157" t="str">
            <v>m2</v>
          </cell>
          <cell r="D157">
            <v>1440</v>
          </cell>
          <cell r="E157">
            <v>14.4</v>
          </cell>
          <cell r="F157">
            <v>1454.5</v>
          </cell>
        </row>
        <row r="158">
          <cell r="A158">
            <v>0</v>
          </cell>
          <cell r="B158" t="str">
            <v>Brass Founder</v>
          </cell>
          <cell r="C158">
            <v>0</v>
          </cell>
          <cell r="D158">
            <v>0</v>
          </cell>
          <cell r="E158">
            <v>0</v>
          </cell>
          <cell r="F158">
            <v>0</v>
          </cell>
        </row>
        <row r="159">
          <cell r="A159">
            <v>1301</v>
          </cell>
          <cell r="B159" t="str">
            <v>Night latch lock</v>
          </cell>
          <cell r="C159" t="str">
            <v>Nr</v>
          </cell>
          <cell r="D159">
            <v>600</v>
          </cell>
          <cell r="E159">
            <v>6</v>
          </cell>
          <cell r="F159">
            <v>606</v>
          </cell>
        </row>
        <row r="160">
          <cell r="A160">
            <v>1302</v>
          </cell>
          <cell r="B160" t="str">
            <v>Mortise Union (English) single lock</v>
          </cell>
          <cell r="C160" t="str">
            <v>Nr</v>
          </cell>
          <cell r="D160">
            <v>0</v>
          </cell>
          <cell r="E160">
            <v>0</v>
          </cell>
          <cell r="F160">
            <v>0</v>
          </cell>
        </row>
        <row r="161">
          <cell r="A161">
            <v>1303</v>
          </cell>
          <cell r="B161" t="str">
            <v>Mortise Union (English) double lock</v>
          </cell>
          <cell r="C161" t="str">
            <v>Nr</v>
          </cell>
          <cell r="D161">
            <v>0</v>
          </cell>
          <cell r="E161">
            <v>0</v>
          </cell>
          <cell r="F161">
            <v>0</v>
          </cell>
        </row>
        <row r="162">
          <cell r="A162">
            <v>1304</v>
          </cell>
          <cell r="B162" t="str">
            <v>Robin ITALY made brass lock</v>
          </cell>
          <cell r="C162" t="str">
            <v>Nr</v>
          </cell>
          <cell r="D162">
            <v>0</v>
          </cell>
          <cell r="E162">
            <v>0</v>
          </cell>
          <cell r="F162">
            <v>0</v>
          </cell>
        </row>
        <row r="163">
          <cell r="A163">
            <v>1305</v>
          </cell>
          <cell r="B163" t="str">
            <v>Fuda lock</v>
          </cell>
          <cell r="C163" t="str">
            <v>Nr</v>
          </cell>
          <cell r="D163">
            <v>0</v>
          </cell>
          <cell r="E163">
            <v>0</v>
          </cell>
          <cell r="F163">
            <v>0</v>
          </cell>
        </row>
        <row r="164">
          <cell r="A164">
            <v>1306</v>
          </cell>
          <cell r="B164" t="str">
            <v>50mm barrel bolt (Brass)</v>
          </cell>
          <cell r="C164" t="str">
            <v>Nr</v>
          </cell>
          <cell r="D164">
            <v>65</v>
          </cell>
          <cell r="E164">
            <v>0.65</v>
          </cell>
          <cell r="F164">
            <v>65.650000000000006</v>
          </cell>
        </row>
        <row r="165">
          <cell r="A165">
            <v>1307</v>
          </cell>
          <cell r="B165" t="str">
            <v>100x100mm butt hinges</v>
          </cell>
          <cell r="C165" t="str">
            <v>Nr</v>
          </cell>
          <cell r="D165">
            <v>300</v>
          </cell>
          <cell r="E165">
            <v>3</v>
          </cell>
          <cell r="F165">
            <v>303</v>
          </cell>
        </row>
        <row r="166">
          <cell r="A166">
            <v>1308</v>
          </cell>
          <cell r="B166" t="str">
            <v>150x100mm butt hinges</v>
          </cell>
          <cell r="C166" t="str">
            <v>Nr</v>
          </cell>
          <cell r="D166">
            <v>475</v>
          </cell>
          <cell r="E166">
            <v>4.75</v>
          </cell>
          <cell r="F166">
            <v>479.75</v>
          </cell>
        </row>
        <row r="167">
          <cell r="A167">
            <v>1309</v>
          </cell>
          <cell r="B167" t="str">
            <v>100mm barrel bolt (Brass)</v>
          </cell>
          <cell r="C167" t="str">
            <v>Nr</v>
          </cell>
          <cell r="D167">
            <v>150</v>
          </cell>
          <cell r="E167">
            <v>1.5</v>
          </cell>
          <cell r="F167">
            <v>151.5</v>
          </cell>
        </row>
        <row r="168">
          <cell r="A168">
            <v>1310</v>
          </cell>
          <cell r="B168" t="str">
            <v>150mm barrel bolt (Brass)</v>
          </cell>
          <cell r="C168" t="str">
            <v>Nr</v>
          </cell>
          <cell r="D168">
            <v>350</v>
          </cell>
          <cell r="E168">
            <v>3.5</v>
          </cell>
          <cell r="F168">
            <v>353.5</v>
          </cell>
        </row>
        <row r="169">
          <cell r="A169">
            <v>0</v>
          </cell>
          <cell r="B169" t="str">
            <v>Iron Monger</v>
          </cell>
          <cell r="C169">
            <v>0</v>
          </cell>
          <cell r="D169">
            <v>0</v>
          </cell>
          <cell r="E169">
            <v>0</v>
          </cell>
          <cell r="F169">
            <v>0</v>
          </cell>
        </row>
        <row r="170">
          <cell r="A170">
            <v>1401</v>
          </cell>
          <cell r="B170" t="str">
            <v>50x50 G.I. welded mesh</v>
          </cell>
          <cell r="C170" t="str">
            <v>m2</v>
          </cell>
          <cell r="D170">
            <v>454</v>
          </cell>
          <cell r="E170">
            <v>4.54</v>
          </cell>
          <cell r="F170">
            <v>458.5</v>
          </cell>
        </row>
        <row r="171">
          <cell r="A171">
            <v>1402</v>
          </cell>
          <cell r="B171" t="str">
            <v>50x12mm beadings</v>
          </cell>
          <cell r="C171" t="str">
            <v>m</v>
          </cell>
          <cell r="D171">
            <v>50</v>
          </cell>
          <cell r="E171">
            <v>0.5</v>
          </cell>
          <cell r="F171">
            <v>50.5</v>
          </cell>
        </row>
        <row r="172">
          <cell r="A172">
            <v>1403</v>
          </cell>
          <cell r="B172" t="str">
            <v>5.5mm MS rods</v>
          </cell>
          <cell r="C172" t="str">
            <v>kg</v>
          </cell>
          <cell r="D172">
            <v>100</v>
          </cell>
          <cell r="E172">
            <v>1</v>
          </cell>
          <cell r="F172">
            <v>101</v>
          </cell>
        </row>
        <row r="173">
          <cell r="A173">
            <v>1404</v>
          </cell>
          <cell r="B173" t="str">
            <v>12x5mm flat iron</v>
          </cell>
          <cell r="C173" t="str">
            <v>m</v>
          </cell>
          <cell r="D173">
            <v>27</v>
          </cell>
          <cell r="E173">
            <v>0.27</v>
          </cell>
          <cell r="F173">
            <v>27.5</v>
          </cell>
        </row>
        <row r="174">
          <cell r="A174">
            <v>1405</v>
          </cell>
          <cell r="B174" t="str">
            <v>25x25x4mm angle iron</v>
          </cell>
          <cell r="C174" t="str">
            <v>m</v>
          </cell>
          <cell r="D174">
            <v>146</v>
          </cell>
          <cell r="E174">
            <v>1.46</v>
          </cell>
          <cell r="F174">
            <v>147.5</v>
          </cell>
        </row>
        <row r="175">
          <cell r="A175">
            <v>1406</v>
          </cell>
          <cell r="B175" t="str">
            <v>100mm safety type Hasp and Staple</v>
          </cell>
          <cell r="C175" t="str">
            <v>Nr</v>
          </cell>
          <cell r="D175">
            <v>150</v>
          </cell>
          <cell r="E175">
            <v>1.5</v>
          </cell>
          <cell r="F175">
            <v>151.5</v>
          </cell>
        </row>
        <row r="176">
          <cell r="A176">
            <v>1407</v>
          </cell>
          <cell r="B176" t="str">
            <v>150mm safety type Hasp and Staple</v>
          </cell>
          <cell r="C176" t="str">
            <v>Nr</v>
          </cell>
          <cell r="D176">
            <v>175</v>
          </cell>
          <cell r="E176">
            <v>1.75</v>
          </cell>
          <cell r="F176">
            <v>177</v>
          </cell>
        </row>
        <row r="177">
          <cell r="A177">
            <v>1408</v>
          </cell>
          <cell r="B177" t="str">
            <v>100x100mm butt hinges</v>
          </cell>
          <cell r="C177" t="str">
            <v>Nr</v>
          </cell>
          <cell r="D177">
            <v>300</v>
          </cell>
          <cell r="E177">
            <v>3</v>
          </cell>
          <cell r="F177">
            <v>303</v>
          </cell>
        </row>
        <row r="178">
          <cell r="A178">
            <v>1409</v>
          </cell>
          <cell r="B178" t="str">
            <v>150x100mm butt hinges</v>
          </cell>
          <cell r="C178" t="str">
            <v>Nr</v>
          </cell>
          <cell r="D178">
            <v>475</v>
          </cell>
          <cell r="E178">
            <v>4.75</v>
          </cell>
          <cell r="F178">
            <v>480</v>
          </cell>
        </row>
        <row r="179">
          <cell r="A179">
            <v>1410</v>
          </cell>
          <cell r="B179" t="str">
            <v>37x37x5.8 mm angle iron</v>
          </cell>
          <cell r="C179" t="str">
            <v>m</v>
          </cell>
          <cell r="D179">
            <v>368</v>
          </cell>
          <cell r="E179">
            <v>3.68</v>
          </cell>
          <cell r="F179">
            <v>371.5</v>
          </cell>
        </row>
        <row r="180">
          <cell r="A180">
            <v>1411</v>
          </cell>
          <cell r="B180" t="str">
            <v>25x25x5 mm angle iron</v>
          </cell>
          <cell r="C180" t="str">
            <v>m</v>
          </cell>
          <cell r="D180">
            <v>187</v>
          </cell>
          <cell r="E180">
            <v>1.87</v>
          </cell>
          <cell r="F180">
            <v>189</v>
          </cell>
        </row>
        <row r="181">
          <cell r="A181">
            <v>1412</v>
          </cell>
          <cell r="B181" t="str">
            <v>25x5mm flat iron</v>
          </cell>
          <cell r="C181" t="str">
            <v>m</v>
          </cell>
          <cell r="D181">
            <v>103</v>
          </cell>
          <cell r="E181">
            <v>1.03</v>
          </cell>
          <cell r="F181">
            <v>104</v>
          </cell>
        </row>
        <row r="182">
          <cell r="A182">
            <v>1413</v>
          </cell>
          <cell r="B182" t="str">
            <v>6mm mild steel hook</v>
          </cell>
          <cell r="C182" t="str">
            <v>Nr</v>
          </cell>
          <cell r="D182">
            <v>50</v>
          </cell>
          <cell r="E182">
            <v>0.5</v>
          </cell>
          <cell r="F182">
            <v>50.5</v>
          </cell>
        </row>
        <row r="183">
          <cell r="A183">
            <v>0</v>
          </cell>
          <cell r="B183" t="str">
            <v>Aluminium Extrusions (Natural Anodized)</v>
          </cell>
          <cell r="C183">
            <v>0</v>
          </cell>
          <cell r="D183">
            <v>0</v>
          </cell>
          <cell r="E183">
            <v>0</v>
          </cell>
          <cell r="F183">
            <v>0</v>
          </cell>
        </row>
        <row r="184">
          <cell r="A184">
            <v>1501</v>
          </cell>
          <cell r="B184" t="str">
            <v>70S-1101-1 (NA)</v>
          </cell>
          <cell r="C184" t="str">
            <v>m</v>
          </cell>
          <cell r="D184">
            <v>450.61</v>
          </cell>
          <cell r="E184">
            <v>4.51</v>
          </cell>
          <cell r="F184">
            <v>455</v>
          </cell>
        </row>
        <row r="185">
          <cell r="A185">
            <v>1502</v>
          </cell>
          <cell r="B185" t="str">
            <v>70S-1001-1 (NA)</v>
          </cell>
          <cell r="C185" t="str">
            <v>m</v>
          </cell>
          <cell r="D185">
            <v>461.07</v>
          </cell>
          <cell r="E185">
            <v>4.6100000000000003</v>
          </cell>
          <cell r="F185">
            <v>465.5</v>
          </cell>
        </row>
        <row r="186">
          <cell r="A186">
            <v>1503</v>
          </cell>
          <cell r="B186" t="str">
            <v>70S-1201-1 (NA)</v>
          </cell>
          <cell r="C186" t="str">
            <v>m</v>
          </cell>
          <cell r="D186">
            <v>375.07</v>
          </cell>
          <cell r="E186">
            <v>3.75</v>
          </cell>
          <cell r="F186">
            <v>378</v>
          </cell>
        </row>
        <row r="187">
          <cell r="A187">
            <v>1504</v>
          </cell>
          <cell r="B187" t="str">
            <v>70S-1604 (NA)</v>
          </cell>
          <cell r="C187" t="str">
            <v>m</v>
          </cell>
          <cell r="D187">
            <v>367.07</v>
          </cell>
          <cell r="E187">
            <v>3.67</v>
          </cell>
          <cell r="F187">
            <v>371</v>
          </cell>
        </row>
        <row r="188">
          <cell r="A188">
            <v>1505</v>
          </cell>
          <cell r="B188" t="str">
            <v>70S-1704 (NA)</v>
          </cell>
          <cell r="C188" t="str">
            <v>m</v>
          </cell>
          <cell r="D188">
            <v>346.61</v>
          </cell>
          <cell r="E188">
            <v>3.47</v>
          </cell>
          <cell r="F188">
            <v>350</v>
          </cell>
        </row>
        <row r="189">
          <cell r="A189">
            <v>1506</v>
          </cell>
          <cell r="B189" t="str">
            <v>70S-1503A (NA)</v>
          </cell>
          <cell r="C189" t="str">
            <v>m</v>
          </cell>
          <cell r="D189">
            <v>433.38</v>
          </cell>
          <cell r="E189">
            <v>4.33</v>
          </cell>
          <cell r="F189">
            <v>438</v>
          </cell>
        </row>
        <row r="190">
          <cell r="A190">
            <v>1507</v>
          </cell>
          <cell r="B190" t="str">
            <v>70S-1401-1 (NA)</v>
          </cell>
          <cell r="C190" t="str">
            <v>m</v>
          </cell>
          <cell r="D190">
            <v>306.76</v>
          </cell>
          <cell r="E190">
            <v>3.07</v>
          </cell>
          <cell r="F190">
            <v>310</v>
          </cell>
        </row>
        <row r="191">
          <cell r="A191">
            <v>1508</v>
          </cell>
          <cell r="B191" t="str">
            <v>70SF-1006 (NA)</v>
          </cell>
          <cell r="C191" t="str">
            <v>m</v>
          </cell>
          <cell r="D191">
            <v>727.23</v>
          </cell>
          <cell r="E191">
            <v>7.27</v>
          </cell>
          <cell r="F191">
            <v>734.5</v>
          </cell>
        </row>
        <row r="192">
          <cell r="A192">
            <v>1509</v>
          </cell>
          <cell r="B192" t="str">
            <v>70SF-1201A (NA)</v>
          </cell>
          <cell r="C192" t="str">
            <v>m</v>
          </cell>
          <cell r="D192">
            <v>254</v>
          </cell>
          <cell r="E192">
            <v>2.54</v>
          </cell>
          <cell r="F192">
            <v>256.5</v>
          </cell>
        </row>
        <row r="193">
          <cell r="A193">
            <v>1510</v>
          </cell>
          <cell r="B193" t="str">
            <v>70SF-1201B (NA)</v>
          </cell>
          <cell r="C193" t="str">
            <v>m</v>
          </cell>
          <cell r="D193">
            <v>254</v>
          </cell>
          <cell r="E193">
            <v>2.54</v>
          </cell>
          <cell r="F193">
            <v>256.5</v>
          </cell>
        </row>
        <row r="194">
          <cell r="A194">
            <v>1511</v>
          </cell>
          <cell r="B194" t="str">
            <v>DG-02 (NA)</v>
          </cell>
          <cell r="C194" t="str">
            <v>m</v>
          </cell>
          <cell r="D194">
            <v>229.18</v>
          </cell>
          <cell r="E194">
            <v>2.29</v>
          </cell>
          <cell r="F194">
            <v>231.5</v>
          </cell>
        </row>
        <row r="195">
          <cell r="A195">
            <v>1512</v>
          </cell>
          <cell r="B195" t="str">
            <v>DG-102 (NA)</v>
          </cell>
          <cell r="C195" t="str">
            <v>m</v>
          </cell>
          <cell r="D195">
            <v>204.91</v>
          </cell>
          <cell r="E195">
            <v>2.0499999999999998</v>
          </cell>
          <cell r="F195">
            <v>207</v>
          </cell>
        </row>
        <row r="196">
          <cell r="A196">
            <v>1513</v>
          </cell>
          <cell r="B196" t="str">
            <v>CA-1001(NA)</v>
          </cell>
          <cell r="C196" t="str">
            <v>m</v>
          </cell>
          <cell r="D196">
            <v>569.01</v>
          </cell>
          <cell r="E196">
            <v>5.69</v>
          </cell>
          <cell r="F196">
            <v>574.5</v>
          </cell>
        </row>
        <row r="197">
          <cell r="A197">
            <v>1514</v>
          </cell>
          <cell r="B197" t="str">
            <v>CA-1002 (NA)</v>
          </cell>
          <cell r="C197" t="str">
            <v>m</v>
          </cell>
          <cell r="D197">
            <v>889.34</v>
          </cell>
          <cell r="E197">
            <v>8.89</v>
          </cell>
          <cell r="F197">
            <v>898</v>
          </cell>
        </row>
        <row r="198">
          <cell r="A198">
            <v>1515</v>
          </cell>
          <cell r="B198" t="str">
            <v>100D-1914 (NA)</v>
          </cell>
          <cell r="C198" t="str">
            <v>m</v>
          </cell>
          <cell r="D198">
            <v>124.61</v>
          </cell>
          <cell r="E198">
            <v>1.25</v>
          </cell>
          <cell r="F198">
            <v>126</v>
          </cell>
        </row>
        <row r="199">
          <cell r="A199">
            <v>1516</v>
          </cell>
          <cell r="B199" t="str">
            <v>CA-1007 (NA)</v>
          </cell>
          <cell r="C199" t="str">
            <v>m</v>
          </cell>
          <cell r="D199">
            <v>255.24</v>
          </cell>
          <cell r="E199">
            <v>2.5499999999999998</v>
          </cell>
          <cell r="F199">
            <v>258</v>
          </cell>
        </row>
        <row r="200">
          <cell r="A200">
            <v>1517</v>
          </cell>
          <cell r="B200" t="str">
            <v>CA-1008 (NA)</v>
          </cell>
          <cell r="C200" t="str">
            <v>m</v>
          </cell>
          <cell r="D200">
            <v>433.28</v>
          </cell>
          <cell r="E200">
            <v>4.33</v>
          </cell>
          <cell r="F200">
            <v>437.5</v>
          </cell>
        </row>
        <row r="201">
          <cell r="A201">
            <v>1518</v>
          </cell>
          <cell r="B201" t="str">
            <v>CA-2005 (NA)</v>
          </cell>
          <cell r="C201" t="str">
            <v>m</v>
          </cell>
          <cell r="D201">
            <v>485.08</v>
          </cell>
          <cell r="E201">
            <v>4.8499999999999996</v>
          </cell>
          <cell r="F201">
            <v>490</v>
          </cell>
        </row>
        <row r="202">
          <cell r="A202">
            <v>1519</v>
          </cell>
          <cell r="B202" t="str">
            <v>A-111 (MF)</v>
          </cell>
          <cell r="C202" t="str">
            <v>m</v>
          </cell>
          <cell r="D202">
            <v>392.87</v>
          </cell>
          <cell r="E202">
            <v>3.93</v>
          </cell>
          <cell r="F202">
            <v>397</v>
          </cell>
        </row>
        <row r="203">
          <cell r="A203">
            <v>1520</v>
          </cell>
          <cell r="B203" t="str">
            <v>DG-01 (NA)</v>
          </cell>
          <cell r="C203" t="str">
            <v>m</v>
          </cell>
          <cell r="D203">
            <v>219.18</v>
          </cell>
          <cell r="E203">
            <v>2.19</v>
          </cell>
          <cell r="F203">
            <v>221.5</v>
          </cell>
        </row>
        <row r="204">
          <cell r="A204">
            <v>1521</v>
          </cell>
          <cell r="B204" t="str">
            <v>DG-101(NA)</v>
          </cell>
          <cell r="C204" t="str">
            <v>m</v>
          </cell>
          <cell r="D204">
            <v>189.01</v>
          </cell>
          <cell r="E204">
            <v>1.89</v>
          </cell>
          <cell r="F204">
            <v>191</v>
          </cell>
        </row>
        <row r="205">
          <cell r="A205">
            <v>1522</v>
          </cell>
          <cell r="B205" t="str">
            <v>CA-2004 (NA)</v>
          </cell>
          <cell r="C205" t="str">
            <v>m</v>
          </cell>
          <cell r="D205">
            <v>332.78</v>
          </cell>
          <cell r="E205">
            <v>3.33</v>
          </cell>
          <cell r="F205">
            <v>336</v>
          </cell>
        </row>
        <row r="206">
          <cell r="A206">
            <v>1523</v>
          </cell>
          <cell r="B206" t="str">
            <v>GL-107 (NA)</v>
          </cell>
          <cell r="C206" t="str">
            <v>m</v>
          </cell>
          <cell r="D206">
            <v>130.82</v>
          </cell>
          <cell r="E206">
            <v>1.31</v>
          </cell>
          <cell r="F206">
            <v>132</v>
          </cell>
        </row>
        <row r="207">
          <cell r="A207">
            <v>1524</v>
          </cell>
          <cell r="B207" t="str">
            <v>CA-1003 (NA)</v>
          </cell>
          <cell r="C207" t="str">
            <v>m</v>
          </cell>
          <cell r="D207">
            <v>352.13</v>
          </cell>
          <cell r="E207">
            <v>3.52</v>
          </cell>
          <cell r="F207">
            <v>355.5</v>
          </cell>
        </row>
        <row r="208">
          <cell r="A208">
            <v>1525</v>
          </cell>
          <cell r="B208" t="str">
            <v>CA-1004 (NA)</v>
          </cell>
          <cell r="C208" t="str">
            <v>m</v>
          </cell>
          <cell r="D208">
            <v>526.39</v>
          </cell>
          <cell r="E208">
            <v>5.26</v>
          </cell>
          <cell r="F208">
            <v>531.5</v>
          </cell>
        </row>
        <row r="209">
          <cell r="A209">
            <v>1526</v>
          </cell>
          <cell r="B209" t="str">
            <v>CA-2006 (NA)</v>
          </cell>
          <cell r="C209" t="str">
            <v>m</v>
          </cell>
          <cell r="D209">
            <v>491.13</v>
          </cell>
          <cell r="E209">
            <v>4.91</v>
          </cell>
          <cell r="F209">
            <v>496</v>
          </cell>
        </row>
        <row r="210">
          <cell r="A210">
            <v>1527</v>
          </cell>
          <cell r="B210" t="str">
            <v>DG-02 (NA)</v>
          </cell>
          <cell r="C210" t="str">
            <v>m</v>
          </cell>
          <cell r="D210">
            <v>229.18</v>
          </cell>
          <cell r="E210">
            <v>2.29</v>
          </cell>
          <cell r="F210">
            <v>231.5</v>
          </cell>
        </row>
        <row r="211">
          <cell r="A211">
            <v>1528</v>
          </cell>
          <cell r="B211" t="str">
            <v>DG-102(NA)</v>
          </cell>
          <cell r="C211" t="str">
            <v>m</v>
          </cell>
          <cell r="D211">
            <v>204.91</v>
          </cell>
          <cell r="E211">
            <v>2.0499999999999998</v>
          </cell>
          <cell r="F211">
            <v>207</v>
          </cell>
        </row>
        <row r="212">
          <cell r="A212">
            <v>1529</v>
          </cell>
          <cell r="B212" t="str">
            <v>CA-1001 (NA)</v>
          </cell>
          <cell r="C212" t="str">
            <v>m</v>
          </cell>
          <cell r="D212">
            <v>569.01</v>
          </cell>
          <cell r="E212">
            <v>5.69</v>
          </cell>
          <cell r="F212">
            <v>574.5</v>
          </cell>
        </row>
        <row r="213">
          <cell r="A213">
            <v>1530</v>
          </cell>
          <cell r="B213" t="str">
            <v>CA-1002 (NA)</v>
          </cell>
          <cell r="C213" t="str">
            <v>m</v>
          </cell>
          <cell r="D213">
            <v>889.34</v>
          </cell>
          <cell r="E213">
            <v>8.89</v>
          </cell>
          <cell r="F213">
            <v>898</v>
          </cell>
        </row>
        <row r="214">
          <cell r="A214">
            <v>1531</v>
          </cell>
          <cell r="B214" t="str">
            <v>100D-3104 (NA)</v>
          </cell>
          <cell r="C214" t="str">
            <v>m</v>
          </cell>
          <cell r="D214">
            <v>602.61</v>
          </cell>
          <cell r="E214">
            <v>6.03</v>
          </cell>
          <cell r="F214">
            <v>608.5</v>
          </cell>
        </row>
        <row r="215">
          <cell r="A215">
            <v>1532</v>
          </cell>
          <cell r="B215" t="str">
            <v>100D-101 (NA)</v>
          </cell>
          <cell r="C215" t="str">
            <v>m</v>
          </cell>
          <cell r="D215">
            <v>823.23</v>
          </cell>
          <cell r="E215">
            <v>8.23</v>
          </cell>
          <cell r="F215">
            <v>831.5</v>
          </cell>
        </row>
        <row r="216">
          <cell r="A216">
            <v>1533</v>
          </cell>
          <cell r="B216" t="str">
            <v>100D-102 (NA)</v>
          </cell>
          <cell r="C216" t="str">
            <v>m</v>
          </cell>
          <cell r="D216">
            <v>862.3</v>
          </cell>
          <cell r="E216">
            <v>8.6199999999999992</v>
          </cell>
          <cell r="F216">
            <v>871</v>
          </cell>
        </row>
        <row r="217">
          <cell r="A217">
            <v>1534</v>
          </cell>
          <cell r="B217" t="str">
            <v>100D-201 (NA)</v>
          </cell>
          <cell r="C217" t="str">
            <v>m</v>
          </cell>
          <cell r="D217">
            <v>796.92</v>
          </cell>
          <cell r="E217">
            <v>7.97</v>
          </cell>
          <cell r="F217">
            <v>805</v>
          </cell>
        </row>
        <row r="218">
          <cell r="A218">
            <v>1535</v>
          </cell>
          <cell r="B218" t="str">
            <v>100D-301 (NA)</v>
          </cell>
          <cell r="C218" t="str">
            <v>m</v>
          </cell>
          <cell r="D218">
            <v>946.61</v>
          </cell>
          <cell r="E218">
            <v>9.4700000000000006</v>
          </cell>
          <cell r="F218">
            <v>956</v>
          </cell>
        </row>
        <row r="219">
          <cell r="A219">
            <v>1536</v>
          </cell>
          <cell r="B219" t="str">
            <v>100D-401 (NA)</v>
          </cell>
          <cell r="C219" t="str">
            <v>m</v>
          </cell>
          <cell r="D219">
            <v>1048.3</v>
          </cell>
          <cell r="E219">
            <v>10.48</v>
          </cell>
          <cell r="F219">
            <v>1059</v>
          </cell>
        </row>
        <row r="220">
          <cell r="A220">
            <v>1537</v>
          </cell>
          <cell r="B220" t="str">
            <v>100D-501 (NA)</v>
          </cell>
          <cell r="C220" t="str">
            <v>m</v>
          </cell>
          <cell r="D220">
            <v>112.15</v>
          </cell>
          <cell r="E220">
            <v>1.1200000000000001</v>
          </cell>
          <cell r="F220">
            <v>113.5</v>
          </cell>
        </row>
        <row r="221">
          <cell r="A221">
            <v>1538</v>
          </cell>
          <cell r="B221" t="str">
            <v>70D-1910 (NA)</v>
          </cell>
          <cell r="C221" t="str">
            <v>m</v>
          </cell>
          <cell r="D221">
            <v>128.30000000000001</v>
          </cell>
          <cell r="E221">
            <v>1.28</v>
          </cell>
          <cell r="F221">
            <v>129.5</v>
          </cell>
        </row>
        <row r="222">
          <cell r="A222">
            <v>1539</v>
          </cell>
          <cell r="B222" t="str">
            <v>100D-3503A (NA)</v>
          </cell>
          <cell r="C222" t="str">
            <v>m</v>
          </cell>
          <cell r="D222">
            <v>596.91999999999996</v>
          </cell>
          <cell r="E222">
            <v>5.97</v>
          </cell>
          <cell r="F222">
            <v>603</v>
          </cell>
        </row>
        <row r="223">
          <cell r="A223">
            <v>1540</v>
          </cell>
          <cell r="B223" t="str">
            <v>100D-3004A (NA)</v>
          </cell>
          <cell r="C223" t="str">
            <v>m</v>
          </cell>
          <cell r="D223">
            <v>704.3</v>
          </cell>
          <cell r="E223">
            <v>7.04</v>
          </cell>
          <cell r="F223">
            <v>711</v>
          </cell>
        </row>
        <row r="224">
          <cell r="A224">
            <v>1541</v>
          </cell>
          <cell r="B224" t="str">
            <v>100D-3207 (NA)</v>
          </cell>
          <cell r="C224" t="str">
            <v>m</v>
          </cell>
          <cell r="D224">
            <v>918.15</v>
          </cell>
          <cell r="E224">
            <v>9.18</v>
          </cell>
          <cell r="F224">
            <v>937.5</v>
          </cell>
        </row>
        <row r="225">
          <cell r="A225">
            <v>1542</v>
          </cell>
          <cell r="B225" t="str">
            <v>100D-3503 (NA)</v>
          </cell>
          <cell r="C225" t="str">
            <v>m</v>
          </cell>
          <cell r="D225">
            <v>651.69000000000005</v>
          </cell>
          <cell r="E225">
            <v>6.52</v>
          </cell>
          <cell r="F225">
            <v>658</v>
          </cell>
        </row>
        <row r="226">
          <cell r="A226">
            <v>1543</v>
          </cell>
          <cell r="B226" t="str">
            <v>100D-1914 (NA)</v>
          </cell>
          <cell r="C226" t="str">
            <v>m</v>
          </cell>
          <cell r="D226">
            <v>124.61</v>
          </cell>
          <cell r="E226">
            <v>1.25</v>
          </cell>
          <cell r="F226">
            <v>126</v>
          </cell>
        </row>
        <row r="227">
          <cell r="A227">
            <v>1544</v>
          </cell>
          <cell r="B227" t="str">
            <v>100D-3203 (NA)</v>
          </cell>
          <cell r="C227" t="str">
            <v>m</v>
          </cell>
          <cell r="D227">
            <v>693.07</v>
          </cell>
          <cell r="E227">
            <v>6.93</v>
          </cell>
          <cell r="F227">
            <v>700</v>
          </cell>
        </row>
        <row r="228">
          <cell r="A228">
            <v>1545</v>
          </cell>
          <cell r="B228" t="str">
            <v>70S-1002-1(NA)</v>
          </cell>
          <cell r="C228" t="str">
            <v>m</v>
          </cell>
          <cell r="D228">
            <v>323.83999999999997</v>
          </cell>
          <cell r="E228">
            <v>3.24</v>
          </cell>
          <cell r="F228">
            <v>327</v>
          </cell>
        </row>
        <row r="229">
          <cell r="A229">
            <v>1546</v>
          </cell>
          <cell r="B229" t="str">
            <v>70S-1102-1 (NA)</v>
          </cell>
          <cell r="C229" t="str">
            <v>m</v>
          </cell>
          <cell r="D229">
            <v>236.92</v>
          </cell>
          <cell r="E229">
            <v>2.37</v>
          </cell>
          <cell r="F229">
            <v>239.5</v>
          </cell>
        </row>
        <row r="230">
          <cell r="A230">
            <v>1547</v>
          </cell>
          <cell r="B230" t="str">
            <v>70S-1202-1(NA)</v>
          </cell>
          <cell r="C230" t="str">
            <v>m</v>
          </cell>
          <cell r="D230">
            <v>236.92</v>
          </cell>
          <cell r="E230">
            <v>2.37</v>
          </cell>
          <cell r="F230">
            <v>239.5</v>
          </cell>
        </row>
        <row r="231">
          <cell r="A231">
            <v>1548</v>
          </cell>
          <cell r="B231" t="str">
            <v>70S-1704A (NA)</v>
          </cell>
          <cell r="C231" t="str">
            <v>m</v>
          </cell>
          <cell r="D231">
            <v>441.38</v>
          </cell>
          <cell r="E231">
            <v>4.41</v>
          </cell>
          <cell r="F231">
            <v>446</v>
          </cell>
        </row>
        <row r="232">
          <cell r="A232">
            <v>1549</v>
          </cell>
          <cell r="B232" t="str">
            <v>70S-1402-1 (NA)</v>
          </cell>
          <cell r="C232" t="str">
            <v>m</v>
          </cell>
          <cell r="D232">
            <v>299.52999999999997</v>
          </cell>
          <cell r="E232">
            <v>3</v>
          </cell>
          <cell r="F232">
            <v>302.5</v>
          </cell>
        </row>
        <row r="233">
          <cell r="A233">
            <v>1550</v>
          </cell>
          <cell r="B233" t="str">
            <v>70S-1801 (NA)</v>
          </cell>
          <cell r="C233" t="str">
            <v>m</v>
          </cell>
          <cell r="D233">
            <v>281.38</v>
          </cell>
          <cell r="E233">
            <v>2.81</v>
          </cell>
          <cell r="F233">
            <v>284</v>
          </cell>
        </row>
        <row r="234">
          <cell r="A234">
            <v>1551</v>
          </cell>
          <cell r="B234" t="str">
            <v>70S-1101-2 (NA)</v>
          </cell>
          <cell r="C234" t="str">
            <v>m</v>
          </cell>
          <cell r="D234">
            <v>466.46</v>
          </cell>
          <cell r="E234">
            <v>4.66</v>
          </cell>
          <cell r="F234">
            <v>471</v>
          </cell>
        </row>
        <row r="235">
          <cell r="A235">
            <v>1552</v>
          </cell>
          <cell r="B235" t="str">
            <v>70S-1001-1 (NA)</v>
          </cell>
          <cell r="C235" t="str">
            <v>m</v>
          </cell>
          <cell r="D235">
            <v>461.07</v>
          </cell>
          <cell r="E235">
            <v>4.6100000000000003</v>
          </cell>
          <cell r="F235">
            <v>465.5</v>
          </cell>
        </row>
        <row r="236">
          <cell r="A236">
            <v>1553</v>
          </cell>
          <cell r="B236" t="str">
            <v>70S-1704A (NA)</v>
          </cell>
          <cell r="C236" t="str">
            <v>m</v>
          </cell>
          <cell r="D236">
            <v>441.38</v>
          </cell>
          <cell r="E236">
            <v>4.41</v>
          </cell>
          <cell r="F236">
            <v>446</v>
          </cell>
        </row>
        <row r="237">
          <cell r="A237">
            <v>1554</v>
          </cell>
          <cell r="B237" t="str">
            <v>70S-1401-1 (NA)</v>
          </cell>
          <cell r="C237" t="str">
            <v>m</v>
          </cell>
          <cell r="D237">
            <v>306.76</v>
          </cell>
          <cell r="E237">
            <v>3.07</v>
          </cell>
          <cell r="F237">
            <v>310</v>
          </cell>
        </row>
        <row r="238">
          <cell r="A238">
            <v>1555</v>
          </cell>
          <cell r="B238" t="str">
            <v>70S-1201-1 (NA)</v>
          </cell>
          <cell r="C238" t="str">
            <v>m</v>
          </cell>
          <cell r="D238">
            <v>375.07</v>
          </cell>
          <cell r="E238">
            <v>3.75</v>
          </cell>
          <cell r="F238">
            <v>379</v>
          </cell>
        </row>
        <row r="239">
          <cell r="A239">
            <v>1556</v>
          </cell>
          <cell r="B239" t="str">
            <v>70S-1604 (NA)</v>
          </cell>
          <cell r="C239" t="str">
            <v>m</v>
          </cell>
          <cell r="D239">
            <v>367.07</v>
          </cell>
          <cell r="E239">
            <v>3.67</v>
          </cell>
          <cell r="F239">
            <v>371</v>
          </cell>
        </row>
        <row r="240">
          <cell r="A240">
            <v>1557</v>
          </cell>
          <cell r="B240" t="str">
            <v>70S-1801 (NA)</v>
          </cell>
          <cell r="C240" t="str">
            <v>m</v>
          </cell>
          <cell r="D240">
            <v>281.38</v>
          </cell>
          <cell r="E240">
            <v>2.81</v>
          </cell>
          <cell r="F240">
            <v>284</v>
          </cell>
        </row>
        <row r="241">
          <cell r="A241">
            <v>1558</v>
          </cell>
          <cell r="B241" t="str">
            <v>PT-5157 (NA)</v>
          </cell>
          <cell r="C241" t="str">
            <v>m</v>
          </cell>
          <cell r="D241">
            <v>306.39</v>
          </cell>
          <cell r="E241">
            <v>3.06</v>
          </cell>
          <cell r="F241">
            <v>309.5</v>
          </cell>
        </row>
        <row r="242">
          <cell r="A242">
            <v>1559</v>
          </cell>
          <cell r="B242" t="str">
            <v>PT-5158 (NA)</v>
          </cell>
          <cell r="C242" t="str">
            <v>m</v>
          </cell>
          <cell r="D242">
            <v>226.72</v>
          </cell>
          <cell r="E242">
            <v>2.27</v>
          </cell>
          <cell r="F242">
            <v>229</v>
          </cell>
        </row>
        <row r="243">
          <cell r="A243">
            <v>1560</v>
          </cell>
          <cell r="B243" t="str">
            <v>PT-5153 (NA)</v>
          </cell>
          <cell r="C243" t="str">
            <v>m</v>
          </cell>
          <cell r="D243">
            <v>82.78</v>
          </cell>
          <cell r="E243">
            <v>0.83</v>
          </cell>
          <cell r="F243">
            <v>83.5</v>
          </cell>
        </row>
        <row r="244">
          <cell r="A244">
            <v>1561</v>
          </cell>
          <cell r="B244" t="str">
            <v>PT-5154 (NA)</v>
          </cell>
          <cell r="C244" t="str">
            <v>m</v>
          </cell>
          <cell r="D244">
            <v>169.34</v>
          </cell>
          <cell r="E244">
            <v>1.69</v>
          </cell>
          <cell r="F244">
            <v>171</v>
          </cell>
        </row>
        <row r="245">
          <cell r="A245">
            <v>1562</v>
          </cell>
          <cell r="B245" t="str">
            <v>A-110A (MF)</v>
          </cell>
          <cell r="C245" t="str">
            <v>m</v>
          </cell>
          <cell r="D245">
            <v>287.37</v>
          </cell>
          <cell r="E245">
            <v>2.87</v>
          </cell>
          <cell r="F245">
            <v>290</v>
          </cell>
        </row>
        <row r="246">
          <cell r="A246">
            <v>0</v>
          </cell>
          <cell r="B246" t="str">
            <v>Aluminium Extrusions (Bronze Anodized)</v>
          </cell>
          <cell r="C246">
            <v>0</v>
          </cell>
          <cell r="D246">
            <v>0</v>
          </cell>
          <cell r="E246">
            <v>0</v>
          </cell>
          <cell r="F246">
            <v>0</v>
          </cell>
        </row>
        <row r="247">
          <cell r="A247">
            <v>1601</v>
          </cell>
          <cell r="B247" t="str">
            <v>70S-1101-1 (BA)</v>
          </cell>
          <cell r="C247" t="str">
            <v>m</v>
          </cell>
          <cell r="D247">
            <v>458.61</v>
          </cell>
          <cell r="E247">
            <v>4.59</v>
          </cell>
          <cell r="F247">
            <v>463</v>
          </cell>
        </row>
        <row r="248">
          <cell r="A248">
            <v>1602</v>
          </cell>
          <cell r="B248" t="str">
            <v>70S-1001-1 (BA)</v>
          </cell>
          <cell r="C248" t="str">
            <v>m</v>
          </cell>
          <cell r="D248">
            <v>469.38</v>
          </cell>
          <cell r="E248">
            <v>4.6900000000000004</v>
          </cell>
          <cell r="F248">
            <v>474</v>
          </cell>
        </row>
        <row r="249">
          <cell r="A249">
            <v>1603</v>
          </cell>
          <cell r="B249" t="str">
            <v>70S-1201-1 (BA)</v>
          </cell>
          <cell r="C249" t="str">
            <v>m</v>
          </cell>
          <cell r="D249">
            <v>382</v>
          </cell>
          <cell r="E249">
            <v>3.82</v>
          </cell>
          <cell r="F249">
            <v>386</v>
          </cell>
        </row>
        <row r="250">
          <cell r="A250">
            <v>1604</v>
          </cell>
          <cell r="B250" t="str">
            <v>70S-1604 (BA)</v>
          </cell>
          <cell r="C250" t="str">
            <v>m</v>
          </cell>
          <cell r="D250">
            <v>373.85</v>
          </cell>
          <cell r="E250">
            <v>3.74</v>
          </cell>
          <cell r="F250">
            <v>377.5</v>
          </cell>
        </row>
        <row r="251">
          <cell r="A251">
            <v>1605</v>
          </cell>
          <cell r="B251" t="str">
            <v>70S-1704 (BA)</v>
          </cell>
          <cell r="C251" t="str">
            <v>m</v>
          </cell>
          <cell r="D251">
            <v>352.77</v>
          </cell>
          <cell r="E251">
            <v>3.53</v>
          </cell>
          <cell r="F251">
            <v>356.5</v>
          </cell>
        </row>
        <row r="252">
          <cell r="A252">
            <v>1606</v>
          </cell>
          <cell r="B252" t="str">
            <v>70S-1503A (BA)</v>
          </cell>
          <cell r="C252" t="str">
            <v>m</v>
          </cell>
          <cell r="D252">
            <v>441.38</v>
          </cell>
          <cell r="E252">
            <v>4.41</v>
          </cell>
          <cell r="F252">
            <v>446</v>
          </cell>
        </row>
        <row r="253">
          <cell r="A253">
            <v>1607</v>
          </cell>
          <cell r="B253" t="str">
            <v>70S-1401-1 (BA)</v>
          </cell>
          <cell r="C253" t="str">
            <v>m</v>
          </cell>
          <cell r="D253">
            <v>312</v>
          </cell>
          <cell r="E253">
            <v>3.12</v>
          </cell>
          <cell r="F253">
            <v>315</v>
          </cell>
        </row>
        <row r="254">
          <cell r="A254">
            <v>1608</v>
          </cell>
          <cell r="B254" t="str">
            <v>70SF-1006 (BA)</v>
          </cell>
          <cell r="C254" t="str">
            <v>m</v>
          </cell>
          <cell r="D254">
            <v>740.46</v>
          </cell>
          <cell r="E254">
            <v>7.4</v>
          </cell>
          <cell r="F254">
            <v>748</v>
          </cell>
        </row>
        <row r="255">
          <cell r="A255">
            <v>1609</v>
          </cell>
          <cell r="B255" t="str">
            <v>70SF-1201A (BA)</v>
          </cell>
          <cell r="C255" t="str">
            <v>m</v>
          </cell>
          <cell r="D255">
            <v>258.14999999999998</v>
          </cell>
          <cell r="E255">
            <v>2.58</v>
          </cell>
          <cell r="F255">
            <v>261</v>
          </cell>
        </row>
        <row r="256">
          <cell r="A256">
            <v>1610</v>
          </cell>
          <cell r="B256" t="str">
            <v>70SF-1201B (BA)</v>
          </cell>
          <cell r="C256" t="str">
            <v>m</v>
          </cell>
          <cell r="D256">
            <v>258.14999999999998</v>
          </cell>
          <cell r="E256">
            <v>2.58</v>
          </cell>
          <cell r="F256">
            <v>260.5</v>
          </cell>
        </row>
        <row r="257">
          <cell r="A257">
            <v>1611</v>
          </cell>
          <cell r="B257" t="str">
            <v>DG-02 (BA)</v>
          </cell>
          <cell r="C257" t="str">
            <v>m</v>
          </cell>
          <cell r="D257">
            <v>233.6</v>
          </cell>
          <cell r="E257">
            <v>2.34</v>
          </cell>
          <cell r="F257">
            <v>236</v>
          </cell>
        </row>
        <row r="258">
          <cell r="A258">
            <v>1612</v>
          </cell>
          <cell r="B258" t="str">
            <v>DG-102 (BA)</v>
          </cell>
          <cell r="C258" t="str">
            <v>m</v>
          </cell>
          <cell r="D258">
            <v>208.52</v>
          </cell>
          <cell r="E258">
            <v>2.09</v>
          </cell>
          <cell r="F258">
            <v>210.5</v>
          </cell>
        </row>
        <row r="259">
          <cell r="A259">
            <v>1613</v>
          </cell>
          <cell r="B259" t="str">
            <v>CA-1001(BA)</v>
          </cell>
          <cell r="C259" t="str">
            <v>m</v>
          </cell>
          <cell r="D259">
            <v>579.51</v>
          </cell>
          <cell r="E259">
            <v>5.8</v>
          </cell>
          <cell r="F259">
            <v>585.5</v>
          </cell>
        </row>
        <row r="260">
          <cell r="A260">
            <v>1614</v>
          </cell>
          <cell r="B260" t="str">
            <v>CA-1002 (BA)</v>
          </cell>
          <cell r="C260" t="str">
            <v>m</v>
          </cell>
          <cell r="D260">
            <v>905.57</v>
          </cell>
          <cell r="E260">
            <v>9.06</v>
          </cell>
          <cell r="F260">
            <v>914.5</v>
          </cell>
        </row>
        <row r="261">
          <cell r="A261">
            <v>1615</v>
          </cell>
          <cell r="B261" t="str">
            <v>100D-1914 (BA)</v>
          </cell>
          <cell r="C261" t="str">
            <v>m</v>
          </cell>
          <cell r="D261">
            <v>127.07</v>
          </cell>
          <cell r="E261">
            <v>1.27</v>
          </cell>
          <cell r="F261">
            <v>128.5</v>
          </cell>
        </row>
        <row r="262">
          <cell r="A262">
            <v>1616</v>
          </cell>
          <cell r="B262" t="str">
            <v>CA-1007 (BA)</v>
          </cell>
          <cell r="C262" t="str">
            <v>m</v>
          </cell>
          <cell r="D262">
            <v>260.32</v>
          </cell>
          <cell r="E262">
            <v>2.6</v>
          </cell>
          <cell r="F262">
            <v>263</v>
          </cell>
        </row>
        <row r="263">
          <cell r="A263">
            <v>1617</v>
          </cell>
          <cell r="B263" t="str">
            <v>CA-1008 (BA)</v>
          </cell>
          <cell r="C263" t="str">
            <v>m</v>
          </cell>
          <cell r="D263">
            <v>441.8</v>
          </cell>
          <cell r="E263">
            <v>4.42</v>
          </cell>
          <cell r="F263">
            <v>446</v>
          </cell>
        </row>
        <row r="264">
          <cell r="A264">
            <v>1618</v>
          </cell>
          <cell r="B264" t="str">
            <v>CA-2005 (BA)</v>
          </cell>
          <cell r="C264" t="str">
            <v>m</v>
          </cell>
          <cell r="D264">
            <v>493.6</v>
          </cell>
          <cell r="E264">
            <v>4.9400000000000004</v>
          </cell>
          <cell r="F264">
            <v>498.5</v>
          </cell>
        </row>
        <row r="265">
          <cell r="A265">
            <v>1619</v>
          </cell>
          <cell r="B265" t="str">
            <v>A-111 (MF)</v>
          </cell>
          <cell r="C265" t="str">
            <v>m</v>
          </cell>
          <cell r="D265">
            <v>392.88</v>
          </cell>
          <cell r="E265">
            <v>3.93</v>
          </cell>
          <cell r="F265">
            <v>397</v>
          </cell>
        </row>
        <row r="266">
          <cell r="A266">
            <v>1620</v>
          </cell>
          <cell r="B266" t="str">
            <v>DG-01 (BA)</v>
          </cell>
          <cell r="C266" t="str">
            <v>m</v>
          </cell>
          <cell r="D266">
            <v>223.44</v>
          </cell>
          <cell r="E266">
            <v>2.23</v>
          </cell>
          <cell r="F266">
            <v>225.5</v>
          </cell>
        </row>
        <row r="267">
          <cell r="A267">
            <v>1621</v>
          </cell>
          <cell r="B267" t="str">
            <v>DG-101(BA)</v>
          </cell>
          <cell r="C267" t="str">
            <v>m</v>
          </cell>
          <cell r="D267">
            <v>192.46</v>
          </cell>
          <cell r="E267">
            <v>1.92</v>
          </cell>
          <cell r="F267">
            <v>194.5</v>
          </cell>
        </row>
        <row r="268">
          <cell r="A268">
            <v>1622</v>
          </cell>
          <cell r="B268" t="str">
            <v>CA-2004 (BA)</v>
          </cell>
          <cell r="C268" t="str">
            <v>m</v>
          </cell>
          <cell r="D268">
            <v>339.01</v>
          </cell>
          <cell r="E268">
            <v>3.39</v>
          </cell>
          <cell r="F268">
            <v>342.5</v>
          </cell>
        </row>
        <row r="269">
          <cell r="A269">
            <v>1623</v>
          </cell>
          <cell r="B269" t="str">
            <v>GL-107 (BA)</v>
          </cell>
          <cell r="C269" t="str">
            <v>m</v>
          </cell>
          <cell r="D269">
            <v>132.94999999999999</v>
          </cell>
          <cell r="E269">
            <v>1.33</v>
          </cell>
          <cell r="F269">
            <v>134.5</v>
          </cell>
        </row>
        <row r="270">
          <cell r="A270">
            <v>1624</v>
          </cell>
          <cell r="B270" t="str">
            <v>CA-1003 (BA)</v>
          </cell>
          <cell r="C270" t="str">
            <v>m</v>
          </cell>
          <cell r="D270">
            <v>358.69</v>
          </cell>
          <cell r="E270">
            <v>3.59</v>
          </cell>
          <cell r="F270">
            <v>362.5</v>
          </cell>
        </row>
        <row r="271">
          <cell r="A271">
            <v>1625</v>
          </cell>
          <cell r="B271" t="str">
            <v>CA-1004 (BA)</v>
          </cell>
          <cell r="C271" t="str">
            <v>m</v>
          </cell>
          <cell r="D271">
            <v>535.9</v>
          </cell>
          <cell r="E271">
            <v>5.36</v>
          </cell>
          <cell r="F271">
            <v>541.5</v>
          </cell>
        </row>
        <row r="272">
          <cell r="A272">
            <v>1626</v>
          </cell>
          <cell r="B272" t="str">
            <v>CA-2006 (BA)</v>
          </cell>
          <cell r="C272" t="str">
            <v>m</v>
          </cell>
          <cell r="D272">
            <v>501.31</v>
          </cell>
          <cell r="E272">
            <v>5.01</v>
          </cell>
          <cell r="F272">
            <v>506.5</v>
          </cell>
        </row>
        <row r="273">
          <cell r="A273">
            <v>1627</v>
          </cell>
          <cell r="B273" t="str">
            <v>DG-02 (BA)</v>
          </cell>
          <cell r="C273" t="str">
            <v>m</v>
          </cell>
          <cell r="D273">
            <v>233.6</v>
          </cell>
          <cell r="E273">
            <v>2.34</v>
          </cell>
          <cell r="F273">
            <v>236</v>
          </cell>
        </row>
        <row r="274">
          <cell r="A274">
            <v>1628</v>
          </cell>
          <cell r="B274" t="str">
            <v>DG-102(BA)</v>
          </cell>
          <cell r="C274" t="str">
            <v>m</v>
          </cell>
          <cell r="D274">
            <v>208.52</v>
          </cell>
          <cell r="E274">
            <v>2.09</v>
          </cell>
          <cell r="F274">
            <v>210.5</v>
          </cell>
        </row>
        <row r="275">
          <cell r="A275">
            <v>1629</v>
          </cell>
          <cell r="B275" t="str">
            <v>CA-1001 (BA)</v>
          </cell>
          <cell r="C275" t="str">
            <v>m</v>
          </cell>
          <cell r="D275">
            <v>579.51</v>
          </cell>
          <cell r="E275">
            <v>5.8</v>
          </cell>
          <cell r="F275">
            <v>585.5</v>
          </cell>
        </row>
        <row r="276">
          <cell r="A276">
            <v>1630</v>
          </cell>
          <cell r="B276" t="str">
            <v>CA-1002 (BA)</v>
          </cell>
          <cell r="C276" t="str">
            <v>m</v>
          </cell>
          <cell r="D276">
            <v>905.57</v>
          </cell>
          <cell r="E276">
            <v>9.06</v>
          </cell>
          <cell r="F276">
            <v>914.5</v>
          </cell>
        </row>
        <row r="277">
          <cell r="A277">
            <v>1631</v>
          </cell>
          <cell r="B277" t="str">
            <v>100D-3104 (BA)</v>
          </cell>
          <cell r="C277" t="str">
            <v>m</v>
          </cell>
          <cell r="D277">
            <v>613.69000000000005</v>
          </cell>
          <cell r="E277">
            <v>6.14</v>
          </cell>
          <cell r="F277">
            <v>620</v>
          </cell>
        </row>
        <row r="278">
          <cell r="A278">
            <v>1632</v>
          </cell>
          <cell r="B278" t="str">
            <v>100D-101 (BA)</v>
          </cell>
          <cell r="C278" t="str">
            <v>m</v>
          </cell>
          <cell r="D278">
            <v>838.31</v>
          </cell>
          <cell r="E278">
            <v>8.3800000000000008</v>
          </cell>
          <cell r="F278">
            <v>846.5</v>
          </cell>
        </row>
        <row r="279">
          <cell r="A279">
            <v>1633</v>
          </cell>
          <cell r="B279" t="str">
            <v>100D-102 (BA)</v>
          </cell>
          <cell r="C279" t="str">
            <v>m</v>
          </cell>
          <cell r="D279">
            <v>877.85</v>
          </cell>
          <cell r="E279">
            <v>8.7799999999999994</v>
          </cell>
          <cell r="F279">
            <v>886.5</v>
          </cell>
        </row>
        <row r="280">
          <cell r="A280">
            <v>1634</v>
          </cell>
          <cell r="B280" t="str">
            <v>100D-201 (BA)</v>
          </cell>
          <cell r="C280" t="str">
            <v>m</v>
          </cell>
          <cell r="D280">
            <v>811.69</v>
          </cell>
          <cell r="E280">
            <v>8.1199999999999992</v>
          </cell>
          <cell r="F280">
            <v>820</v>
          </cell>
        </row>
        <row r="281">
          <cell r="A281">
            <v>1635</v>
          </cell>
          <cell r="B281" t="str">
            <v>100D-301 (BA)</v>
          </cell>
          <cell r="C281" t="str">
            <v>m</v>
          </cell>
          <cell r="D281">
            <v>964</v>
          </cell>
          <cell r="E281">
            <v>9.64</v>
          </cell>
          <cell r="F281">
            <v>973.5</v>
          </cell>
        </row>
        <row r="282">
          <cell r="A282">
            <v>1636</v>
          </cell>
          <cell r="B282" t="str">
            <v>100D-401 (BA)</v>
          </cell>
          <cell r="C282" t="str">
            <v>m</v>
          </cell>
          <cell r="D282">
            <v>1067.69</v>
          </cell>
          <cell r="E282">
            <v>10.68</v>
          </cell>
          <cell r="F282">
            <v>1078.5</v>
          </cell>
        </row>
        <row r="283">
          <cell r="A283">
            <v>1637</v>
          </cell>
          <cell r="B283" t="str">
            <v>100D-501 (BA)</v>
          </cell>
          <cell r="C283" t="str">
            <v>m</v>
          </cell>
          <cell r="D283">
            <v>114.15</v>
          </cell>
          <cell r="E283">
            <v>1.1399999999999999</v>
          </cell>
          <cell r="F283">
            <v>115.5</v>
          </cell>
        </row>
        <row r="284">
          <cell r="A284">
            <v>1638</v>
          </cell>
          <cell r="B284" t="str">
            <v>70D-1910 (BA)</v>
          </cell>
          <cell r="C284" t="str">
            <v>m</v>
          </cell>
          <cell r="D284">
            <v>130.30000000000001</v>
          </cell>
          <cell r="E284">
            <v>1.3</v>
          </cell>
          <cell r="F284">
            <v>131.5</v>
          </cell>
        </row>
        <row r="285">
          <cell r="A285">
            <v>1639</v>
          </cell>
          <cell r="B285" t="str">
            <v>100D-3503A (BA)</v>
          </cell>
          <cell r="C285" t="str">
            <v>m</v>
          </cell>
          <cell r="D285">
            <v>607.69000000000005</v>
          </cell>
          <cell r="E285">
            <v>6.08</v>
          </cell>
          <cell r="F285">
            <v>613.5</v>
          </cell>
        </row>
        <row r="286">
          <cell r="A286">
            <v>1640</v>
          </cell>
          <cell r="B286" t="str">
            <v>100D-3004A (BA)</v>
          </cell>
          <cell r="C286" t="str">
            <v>m</v>
          </cell>
          <cell r="D286">
            <v>717.38</v>
          </cell>
          <cell r="E286">
            <v>7.17</v>
          </cell>
          <cell r="F286">
            <v>724.5</v>
          </cell>
        </row>
        <row r="287">
          <cell r="A287">
            <v>1641</v>
          </cell>
          <cell r="B287" t="str">
            <v>100D-3207 (BA)</v>
          </cell>
          <cell r="C287" t="str">
            <v>m</v>
          </cell>
          <cell r="D287">
            <v>934.92</v>
          </cell>
          <cell r="E287">
            <v>9.35</v>
          </cell>
          <cell r="F287">
            <v>944.5</v>
          </cell>
        </row>
        <row r="288">
          <cell r="A288">
            <v>1642</v>
          </cell>
          <cell r="B288" t="str">
            <v>100D-3503 (BA)</v>
          </cell>
          <cell r="C288" t="str">
            <v>m</v>
          </cell>
          <cell r="D288">
            <v>663.85</v>
          </cell>
          <cell r="E288">
            <v>6.64</v>
          </cell>
          <cell r="F288">
            <v>670.5</v>
          </cell>
        </row>
        <row r="289">
          <cell r="A289">
            <v>1643</v>
          </cell>
          <cell r="B289" t="str">
            <v>100D-1914 (BA)</v>
          </cell>
          <cell r="C289" t="str">
            <v>m</v>
          </cell>
          <cell r="D289">
            <v>127.07</v>
          </cell>
          <cell r="E289">
            <v>1.27</v>
          </cell>
          <cell r="F289">
            <v>128.5</v>
          </cell>
        </row>
        <row r="290">
          <cell r="A290">
            <v>1644</v>
          </cell>
          <cell r="B290" t="str">
            <v>100D-3203 (BA)</v>
          </cell>
          <cell r="C290" t="str">
            <v>m</v>
          </cell>
          <cell r="D290">
            <v>705.53</v>
          </cell>
          <cell r="E290">
            <v>7.06</v>
          </cell>
          <cell r="F290">
            <v>712.5</v>
          </cell>
        </row>
        <row r="291">
          <cell r="A291">
            <v>1645</v>
          </cell>
          <cell r="B291" t="str">
            <v>70S-1002-1(BA)</v>
          </cell>
          <cell r="C291" t="str">
            <v>m</v>
          </cell>
          <cell r="D291">
            <v>329.69</v>
          </cell>
          <cell r="E291">
            <v>3.3</v>
          </cell>
          <cell r="F291">
            <v>333</v>
          </cell>
        </row>
        <row r="292">
          <cell r="A292">
            <v>1646</v>
          </cell>
          <cell r="B292" t="str">
            <v>70S-1102-1 (BA)</v>
          </cell>
          <cell r="C292" t="str">
            <v>m</v>
          </cell>
          <cell r="D292">
            <v>241.23</v>
          </cell>
          <cell r="E292">
            <v>2.41</v>
          </cell>
          <cell r="F292">
            <v>243.5</v>
          </cell>
        </row>
        <row r="293">
          <cell r="A293">
            <v>1647</v>
          </cell>
          <cell r="B293" t="str">
            <v>70S-1202-1(BA)</v>
          </cell>
          <cell r="C293" t="str">
            <v>m</v>
          </cell>
          <cell r="D293">
            <v>241.23</v>
          </cell>
          <cell r="E293">
            <v>2.41</v>
          </cell>
          <cell r="F293">
            <v>243.5</v>
          </cell>
        </row>
        <row r="294">
          <cell r="A294">
            <v>1648</v>
          </cell>
          <cell r="B294" t="str">
            <v>70S-1704A (BA)</v>
          </cell>
          <cell r="C294" t="str">
            <v>m</v>
          </cell>
          <cell r="D294">
            <v>449.54</v>
          </cell>
          <cell r="E294">
            <v>4.5</v>
          </cell>
          <cell r="F294">
            <v>454</v>
          </cell>
        </row>
        <row r="295">
          <cell r="A295">
            <v>1649</v>
          </cell>
          <cell r="B295" t="str">
            <v>70S-1402-1 (BA)</v>
          </cell>
          <cell r="C295" t="str">
            <v>m</v>
          </cell>
          <cell r="D295">
            <v>304.92</v>
          </cell>
          <cell r="E295">
            <v>3.05</v>
          </cell>
          <cell r="F295">
            <v>308</v>
          </cell>
        </row>
        <row r="296">
          <cell r="A296">
            <v>1650</v>
          </cell>
          <cell r="B296" t="str">
            <v>70S-1801 (BA)</v>
          </cell>
          <cell r="C296" t="str">
            <v>m</v>
          </cell>
          <cell r="D296">
            <v>286.45999999999998</v>
          </cell>
          <cell r="E296">
            <v>2.86</v>
          </cell>
          <cell r="F296">
            <v>289.5</v>
          </cell>
        </row>
        <row r="297">
          <cell r="A297">
            <v>1651</v>
          </cell>
          <cell r="B297" t="str">
            <v>70S-1101-2 (BA)</v>
          </cell>
          <cell r="C297" t="str">
            <v>m</v>
          </cell>
          <cell r="D297">
            <v>475.07</v>
          </cell>
          <cell r="E297">
            <v>4.75</v>
          </cell>
          <cell r="F297">
            <v>480</v>
          </cell>
        </row>
        <row r="298">
          <cell r="A298">
            <v>1652</v>
          </cell>
          <cell r="B298" t="str">
            <v>70S-1001-1 (BA)</v>
          </cell>
          <cell r="C298" t="str">
            <v>m</v>
          </cell>
          <cell r="D298">
            <v>469.38</v>
          </cell>
          <cell r="E298">
            <v>4.6900000000000004</v>
          </cell>
          <cell r="F298">
            <v>474</v>
          </cell>
        </row>
        <row r="299">
          <cell r="A299">
            <v>1653</v>
          </cell>
          <cell r="B299" t="str">
            <v>70S-1704A (BA)</v>
          </cell>
          <cell r="C299" t="str">
            <v>m</v>
          </cell>
          <cell r="D299">
            <v>449.54</v>
          </cell>
          <cell r="E299">
            <v>4.5</v>
          </cell>
          <cell r="F299">
            <v>454</v>
          </cell>
        </row>
        <row r="300">
          <cell r="A300">
            <v>1654</v>
          </cell>
          <cell r="B300" t="str">
            <v>70S-1401-1 (BA)</v>
          </cell>
          <cell r="C300" t="str">
            <v>m</v>
          </cell>
          <cell r="D300">
            <v>312</v>
          </cell>
          <cell r="E300">
            <v>3.12</v>
          </cell>
          <cell r="F300">
            <v>315</v>
          </cell>
        </row>
        <row r="301">
          <cell r="A301">
            <v>1655</v>
          </cell>
          <cell r="B301" t="str">
            <v>70S-1201-1 (BA)</v>
          </cell>
          <cell r="C301" t="str">
            <v>m</v>
          </cell>
          <cell r="D301">
            <v>382</v>
          </cell>
          <cell r="E301">
            <v>3.82</v>
          </cell>
          <cell r="F301">
            <v>386</v>
          </cell>
        </row>
        <row r="302">
          <cell r="A302">
            <v>1656</v>
          </cell>
          <cell r="B302" t="str">
            <v>70S-1604 (BA)</v>
          </cell>
          <cell r="C302" t="str">
            <v>m</v>
          </cell>
          <cell r="D302">
            <v>373.85</v>
          </cell>
          <cell r="E302">
            <v>3.74</v>
          </cell>
          <cell r="F302">
            <v>377.5</v>
          </cell>
        </row>
        <row r="303">
          <cell r="A303">
            <v>1657</v>
          </cell>
          <cell r="B303" t="str">
            <v>70S-1801 (BA)</v>
          </cell>
          <cell r="C303" t="str">
            <v>m</v>
          </cell>
          <cell r="D303">
            <v>286.45999999999998</v>
          </cell>
          <cell r="E303">
            <v>2.86</v>
          </cell>
          <cell r="F303">
            <v>289.5</v>
          </cell>
        </row>
        <row r="304">
          <cell r="A304">
            <v>1658</v>
          </cell>
          <cell r="B304" t="str">
            <v>PT-5157 (BA)</v>
          </cell>
          <cell r="C304" t="str">
            <v>m</v>
          </cell>
          <cell r="D304">
            <v>312.45999999999998</v>
          </cell>
          <cell r="E304">
            <v>3.12</v>
          </cell>
          <cell r="F304">
            <v>315.5</v>
          </cell>
        </row>
        <row r="305">
          <cell r="A305">
            <v>1659</v>
          </cell>
          <cell r="B305" t="str">
            <v>PT-5158 (BA)</v>
          </cell>
          <cell r="C305" t="str">
            <v>m</v>
          </cell>
          <cell r="D305">
            <v>230.32</v>
          </cell>
          <cell r="E305">
            <v>2.2999999999999998</v>
          </cell>
          <cell r="F305">
            <v>232.5</v>
          </cell>
        </row>
        <row r="306">
          <cell r="A306">
            <v>1660</v>
          </cell>
          <cell r="B306" t="str">
            <v>PT-5153 (BA)</v>
          </cell>
          <cell r="C306" t="str">
            <v>m</v>
          </cell>
          <cell r="D306">
            <v>84.42</v>
          </cell>
          <cell r="E306">
            <v>0.84</v>
          </cell>
          <cell r="F306">
            <v>85.5</v>
          </cell>
        </row>
        <row r="307">
          <cell r="A307">
            <v>1661</v>
          </cell>
          <cell r="B307" t="str">
            <v>PT-5154 (BA)</v>
          </cell>
          <cell r="C307" t="str">
            <v>m</v>
          </cell>
          <cell r="D307">
            <v>171.97</v>
          </cell>
          <cell r="E307">
            <v>1.72</v>
          </cell>
          <cell r="F307">
            <v>173.5</v>
          </cell>
        </row>
        <row r="308">
          <cell r="A308">
            <v>1662</v>
          </cell>
          <cell r="B308" t="str">
            <v>A-110A (MF)</v>
          </cell>
          <cell r="C308" t="str">
            <v>m</v>
          </cell>
          <cell r="D308">
            <v>257.05</v>
          </cell>
          <cell r="E308">
            <v>2.57</v>
          </cell>
          <cell r="F308">
            <v>259.5</v>
          </cell>
        </row>
        <row r="309">
          <cell r="A309">
            <v>0</v>
          </cell>
          <cell r="B309" t="str">
            <v>Aluminium Extrusions (Powder Coated)</v>
          </cell>
          <cell r="C309">
            <v>0</v>
          </cell>
          <cell r="D309">
            <v>0</v>
          </cell>
          <cell r="E309">
            <v>0</v>
          </cell>
          <cell r="F309">
            <v>0</v>
          </cell>
        </row>
        <row r="310">
          <cell r="A310">
            <v>1701</v>
          </cell>
          <cell r="B310" t="str">
            <v>70S-1101-1 (PC)</v>
          </cell>
          <cell r="C310" t="str">
            <v>m</v>
          </cell>
          <cell r="D310">
            <v>519.38</v>
          </cell>
          <cell r="E310">
            <v>5.19</v>
          </cell>
          <cell r="F310">
            <v>524.5</v>
          </cell>
        </row>
        <row r="311">
          <cell r="A311">
            <v>1702</v>
          </cell>
          <cell r="B311" t="str">
            <v>70S-1001-1 (PC)</v>
          </cell>
          <cell r="C311" t="str">
            <v>m</v>
          </cell>
          <cell r="D311">
            <v>531.23</v>
          </cell>
          <cell r="E311">
            <v>5.31</v>
          </cell>
          <cell r="F311">
            <v>536.5</v>
          </cell>
        </row>
        <row r="312">
          <cell r="A312">
            <v>1703</v>
          </cell>
          <cell r="B312" t="str">
            <v>70S-1201-1 (PC)</v>
          </cell>
          <cell r="C312" t="str">
            <v>m</v>
          </cell>
          <cell r="D312">
            <v>432.15</v>
          </cell>
          <cell r="E312">
            <v>4.32</v>
          </cell>
          <cell r="F312">
            <v>436.5</v>
          </cell>
        </row>
        <row r="313">
          <cell r="A313">
            <v>1704</v>
          </cell>
          <cell r="B313" t="str">
            <v>70S-1604 (PC)</v>
          </cell>
          <cell r="C313" t="str">
            <v>m</v>
          </cell>
          <cell r="D313">
            <v>422.92</v>
          </cell>
          <cell r="E313">
            <v>4.2300000000000004</v>
          </cell>
          <cell r="F313">
            <v>427</v>
          </cell>
        </row>
        <row r="314">
          <cell r="A314">
            <v>1705</v>
          </cell>
          <cell r="B314" t="str">
            <v>70S-1704 (PC)</v>
          </cell>
          <cell r="C314" t="str">
            <v>m</v>
          </cell>
          <cell r="D314">
            <v>399.23</v>
          </cell>
          <cell r="E314">
            <v>3.99</v>
          </cell>
          <cell r="F314">
            <v>403</v>
          </cell>
        </row>
        <row r="315">
          <cell r="A315">
            <v>1706</v>
          </cell>
          <cell r="B315" t="str">
            <v>70S-1503A (PC)</v>
          </cell>
          <cell r="C315" t="str">
            <v>m</v>
          </cell>
          <cell r="D315">
            <v>499.54</v>
          </cell>
          <cell r="E315">
            <v>5</v>
          </cell>
          <cell r="F315">
            <v>504.5</v>
          </cell>
        </row>
        <row r="316">
          <cell r="A316">
            <v>1707</v>
          </cell>
          <cell r="B316" t="str">
            <v>70S-1401-1 (PC)</v>
          </cell>
          <cell r="C316" t="str">
            <v>m</v>
          </cell>
          <cell r="D316">
            <v>353.23</v>
          </cell>
          <cell r="E316">
            <v>3.53</v>
          </cell>
          <cell r="F316">
            <v>357</v>
          </cell>
        </row>
        <row r="317">
          <cell r="A317">
            <v>1708</v>
          </cell>
          <cell r="B317" t="str">
            <v>70SF-1006 (PC)</v>
          </cell>
          <cell r="C317" t="str">
            <v>m</v>
          </cell>
          <cell r="D317">
            <v>838.15</v>
          </cell>
          <cell r="E317">
            <v>8.3800000000000008</v>
          </cell>
          <cell r="F317">
            <v>846.5</v>
          </cell>
        </row>
        <row r="318">
          <cell r="A318">
            <v>1709</v>
          </cell>
          <cell r="B318" t="str">
            <v>70SF-1201A (PC)</v>
          </cell>
          <cell r="C318" t="str">
            <v>m</v>
          </cell>
          <cell r="D318">
            <v>292.61</v>
          </cell>
          <cell r="E318">
            <v>2.93</v>
          </cell>
          <cell r="F318">
            <v>295.5</v>
          </cell>
        </row>
        <row r="319">
          <cell r="A319">
            <v>1710</v>
          </cell>
          <cell r="B319" t="str">
            <v>70SF-1201B (PC)</v>
          </cell>
          <cell r="C319" t="str">
            <v>m</v>
          </cell>
          <cell r="D319">
            <v>292.61</v>
          </cell>
          <cell r="E319">
            <v>2.93</v>
          </cell>
          <cell r="F319">
            <v>295.5</v>
          </cell>
        </row>
        <row r="320">
          <cell r="A320">
            <v>1711</v>
          </cell>
          <cell r="B320" t="str">
            <v>DG-02 (PC)</v>
          </cell>
          <cell r="C320" t="str">
            <v>m</v>
          </cell>
          <cell r="D320">
            <v>264.43</v>
          </cell>
          <cell r="E320">
            <v>2.64</v>
          </cell>
          <cell r="F320">
            <v>267</v>
          </cell>
        </row>
        <row r="321">
          <cell r="A321">
            <v>1712</v>
          </cell>
          <cell r="B321" t="str">
            <v>DG-102 (PC)</v>
          </cell>
          <cell r="C321" t="str">
            <v>m</v>
          </cell>
          <cell r="D321">
            <v>236.06</v>
          </cell>
          <cell r="E321">
            <v>2.36</v>
          </cell>
          <cell r="F321">
            <v>238.5</v>
          </cell>
        </row>
        <row r="322">
          <cell r="A322">
            <v>1713</v>
          </cell>
          <cell r="B322" t="str">
            <v>CA-1001(PC)</v>
          </cell>
          <cell r="C322" t="str">
            <v>m</v>
          </cell>
          <cell r="D322">
            <v>655.57</v>
          </cell>
          <cell r="E322">
            <v>6.56</v>
          </cell>
          <cell r="F322">
            <v>662</v>
          </cell>
        </row>
        <row r="323">
          <cell r="A323">
            <v>1714</v>
          </cell>
          <cell r="B323" t="str">
            <v>CA-1002 (PC)</v>
          </cell>
          <cell r="C323" t="str">
            <v>m</v>
          </cell>
          <cell r="D323">
            <v>1024.92</v>
          </cell>
          <cell r="E323">
            <v>10.25</v>
          </cell>
          <cell r="F323">
            <v>1035</v>
          </cell>
        </row>
        <row r="324">
          <cell r="A324">
            <v>1715</v>
          </cell>
          <cell r="B324" t="str">
            <v>100D-1914 (PC)</v>
          </cell>
          <cell r="C324" t="str">
            <v>m</v>
          </cell>
          <cell r="D324">
            <v>143.84</v>
          </cell>
          <cell r="E324">
            <v>1.44</v>
          </cell>
          <cell r="F324">
            <v>145.5</v>
          </cell>
        </row>
        <row r="325">
          <cell r="A325">
            <v>1716</v>
          </cell>
          <cell r="B325" t="str">
            <v>CA-1007 (PC)</v>
          </cell>
          <cell r="C325" t="str">
            <v>m</v>
          </cell>
          <cell r="D325">
            <v>294.75</v>
          </cell>
          <cell r="E325">
            <v>2.95</v>
          </cell>
          <cell r="F325">
            <v>297.5</v>
          </cell>
        </row>
        <row r="326">
          <cell r="A326">
            <v>1717</v>
          </cell>
          <cell r="B326" t="str">
            <v>CA-1008 (PC)</v>
          </cell>
          <cell r="C326" t="str">
            <v>m</v>
          </cell>
          <cell r="D326">
            <v>500.16</v>
          </cell>
          <cell r="E326">
            <v>5</v>
          </cell>
          <cell r="F326">
            <v>505</v>
          </cell>
        </row>
        <row r="327">
          <cell r="A327">
            <v>1718</v>
          </cell>
          <cell r="B327" t="str">
            <v>CA-2005 (PC)</v>
          </cell>
          <cell r="C327" t="str">
            <v>m</v>
          </cell>
          <cell r="D327">
            <v>558.85</v>
          </cell>
          <cell r="E327">
            <v>5.59</v>
          </cell>
          <cell r="F327">
            <v>564.5</v>
          </cell>
        </row>
        <row r="328">
          <cell r="A328">
            <v>1719</v>
          </cell>
          <cell r="B328" t="str">
            <v>A-111 (MF)</v>
          </cell>
          <cell r="C328" t="str">
            <v>m</v>
          </cell>
          <cell r="D328">
            <v>392.87</v>
          </cell>
          <cell r="E328">
            <v>3.93</v>
          </cell>
          <cell r="F328">
            <v>397</v>
          </cell>
        </row>
        <row r="329">
          <cell r="A329">
            <v>1720</v>
          </cell>
          <cell r="B329" t="str">
            <v>DG-01 (PC)</v>
          </cell>
          <cell r="C329" t="str">
            <v>m</v>
          </cell>
          <cell r="D329">
            <v>252.95</v>
          </cell>
          <cell r="E329">
            <v>2.5299999999999998</v>
          </cell>
          <cell r="F329">
            <v>255.5</v>
          </cell>
        </row>
        <row r="330">
          <cell r="A330">
            <v>1721</v>
          </cell>
          <cell r="B330" t="str">
            <v>DG-101(PC)</v>
          </cell>
          <cell r="C330" t="str">
            <v>m</v>
          </cell>
          <cell r="D330">
            <v>217.54</v>
          </cell>
          <cell r="E330">
            <v>2.1800000000000002</v>
          </cell>
          <cell r="F330">
            <v>219.5</v>
          </cell>
        </row>
        <row r="331">
          <cell r="A331">
            <v>1722</v>
          </cell>
          <cell r="B331" t="str">
            <v>CA-2004 (PC)</v>
          </cell>
          <cell r="C331" t="str">
            <v>m</v>
          </cell>
          <cell r="D331">
            <v>384.26</v>
          </cell>
          <cell r="E331">
            <v>3.84</v>
          </cell>
          <cell r="F331">
            <v>388</v>
          </cell>
        </row>
        <row r="332">
          <cell r="A332">
            <v>1723</v>
          </cell>
          <cell r="B332" t="str">
            <v>GL-107 (PC)</v>
          </cell>
          <cell r="C332" t="str">
            <v>m</v>
          </cell>
          <cell r="D332">
            <v>151.15</v>
          </cell>
          <cell r="E332">
            <v>1.51</v>
          </cell>
          <cell r="F332">
            <v>152.5</v>
          </cell>
        </row>
        <row r="333">
          <cell r="A333">
            <v>1724</v>
          </cell>
          <cell r="B333" t="str">
            <v>CA-1003 (PC)</v>
          </cell>
          <cell r="C333" t="str">
            <v>m</v>
          </cell>
          <cell r="D333">
            <v>405.74</v>
          </cell>
          <cell r="E333">
            <v>4.0599999999999996</v>
          </cell>
          <cell r="F333">
            <v>410</v>
          </cell>
        </row>
        <row r="334">
          <cell r="A334">
            <v>1725</v>
          </cell>
          <cell r="B334" t="str">
            <v>CA-1004 (PC)</v>
          </cell>
          <cell r="C334" t="str">
            <v>m</v>
          </cell>
          <cell r="D334">
            <v>606.72</v>
          </cell>
          <cell r="E334">
            <v>6.07</v>
          </cell>
          <cell r="F334">
            <v>613</v>
          </cell>
        </row>
        <row r="335">
          <cell r="A335">
            <v>1726</v>
          </cell>
          <cell r="B335" t="str">
            <v>CA-2006 (PC)</v>
          </cell>
          <cell r="C335" t="str">
            <v>m</v>
          </cell>
          <cell r="D335">
            <v>567.37</v>
          </cell>
          <cell r="E335">
            <v>5.67</v>
          </cell>
          <cell r="F335">
            <v>573</v>
          </cell>
        </row>
        <row r="336">
          <cell r="A336">
            <v>1727</v>
          </cell>
          <cell r="B336" t="str">
            <v>DG-02 (PC)</v>
          </cell>
          <cell r="C336" t="str">
            <v>m</v>
          </cell>
          <cell r="D336">
            <v>264.43</v>
          </cell>
          <cell r="E336">
            <v>2.64</v>
          </cell>
          <cell r="F336">
            <v>267</v>
          </cell>
        </row>
        <row r="337">
          <cell r="A337">
            <v>1728</v>
          </cell>
          <cell r="B337" t="str">
            <v>DG-102(PC)</v>
          </cell>
          <cell r="C337" t="str">
            <v>m</v>
          </cell>
          <cell r="D337">
            <v>236.06</v>
          </cell>
          <cell r="E337">
            <v>2.36</v>
          </cell>
          <cell r="F337">
            <v>238.5</v>
          </cell>
        </row>
        <row r="338">
          <cell r="A338">
            <v>1729</v>
          </cell>
          <cell r="B338" t="str">
            <v>CA-1001 (PC)</v>
          </cell>
          <cell r="C338" t="str">
            <v>m</v>
          </cell>
          <cell r="D338">
            <v>655.57</v>
          </cell>
          <cell r="E338">
            <v>6.56</v>
          </cell>
          <cell r="F338">
            <v>662</v>
          </cell>
        </row>
        <row r="339">
          <cell r="A339">
            <v>1730</v>
          </cell>
          <cell r="B339" t="str">
            <v>CA-1002 (PC)</v>
          </cell>
          <cell r="C339" t="str">
            <v>m</v>
          </cell>
          <cell r="D339">
            <v>1024.92</v>
          </cell>
          <cell r="E339">
            <v>10.25</v>
          </cell>
          <cell r="F339">
            <v>1035</v>
          </cell>
        </row>
        <row r="340">
          <cell r="A340">
            <v>1731</v>
          </cell>
          <cell r="B340" t="str">
            <v>100D-3104 (PC)</v>
          </cell>
          <cell r="C340" t="str">
            <v>m</v>
          </cell>
          <cell r="D340">
            <v>694.46</v>
          </cell>
          <cell r="E340">
            <v>6.94</v>
          </cell>
          <cell r="F340">
            <v>701.5</v>
          </cell>
        </row>
        <row r="341">
          <cell r="A341">
            <v>1732</v>
          </cell>
          <cell r="B341" t="str">
            <v>100D-101 (PC)</v>
          </cell>
          <cell r="C341" t="str">
            <v>m</v>
          </cell>
          <cell r="D341">
            <v>948.77</v>
          </cell>
          <cell r="E341">
            <v>9.49</v>
          </cell>
          <cell r="F341">
            <v>958.5</v>
          </cell>
        </row>
        <row r="342">
          <cell r="A342">
            <v>1733</v>
          </cell>
          <cell r="B342" t="str">
            <v>100D-102 (PC)</v>
          </cell>
          <cell r="C342" t="str">
            <v>m</v>
          </cell>
          <cell r="D342">
            <v>993.38</v>
          </cell>
          <cell r="E342">
            <v>9.93</v>
          </cell>
          <cell r="F342">
            <v>1003.5</v>
          </cell>
        </row>
        <row r="343">
          <cell r="A343">
            <v>1734</v>
          </cell>
          <cell r="B343" t="str">
            <v>100D-201 (PC)</v>
          </cell>
          <cell r="C343" t="str">
            <v>m</v>
          </cell>
          <cell r="D343">
            <v>918.31</v>
          </cell>
          <cell r="E343">
            <v>9.18</v>
          </cell>
          <cell r="F343">
            <v>927.5</v>
          </cell>
        </row>
        <row r="344">
          <cell r="A344">
            <v>1735</v>
          </cell>
          <cell r="B344" t="str">
            <v>100D-301 (PC)</v>
          </cell>
          <cell r="C344" t="str">
            <v>m</v>
          </cell>
          <cell r="D344">
            <v>1091.08</v>
          </cell>
          <cell r="E344">
            <v>10.91</v>
          </cell>
          <cell r="F344">
            <v>1102</v>
          </cell>
        </row>
        <row r="345">
          <cell r="A345">
            <v>1736</v>
          </cell>
          <cell r="B345" t="str">
            <v>100D-401 (PC)</v>
          </cell>
          <cell r="C345" t="str">
            <v>m</v>
          </cell>
          <cell r="D345">
            <v>1208</v>
          </cell>
          <cell r="E345">
            <v>12.08</v>
          </cell>
          <cell r="F345">
            <v>1220</v>
          </cell>
        </row>
        <row r="346">
          <cell r="A346">
            <v>1737</v>
          </cell>
          <cell r="B346" t="str">
            <v>100D-501 (PC)</v>
          </cell>
          <cell r="C346" t="str">
            <v>m</v>
          </cell>
          <cell r="D346">
            <v>129.08000000000001</v>
          </cell>
          <cell r="E346">
            <v>1.29</v>
          </cell>
          <cell r="F346">
            <v>137.5</v>
          </cell>
        </row>
        <row r="347">
          <cell r="A347">
            <v>1738</v>
          </cell>
          <cell r="B347" t="str">
            <v>70D-1910 (PC)</v>
          </cell>
          <cell r="C347" t="str">
            <v>m</v>
          </cell>
          <cell r="D347">
            <v>147.69</v>
          </cell>
          <cell r="E347">
            <v>1.48</v>
          </cell>
          <cell r="F347">
            <v>149</v>
          </cell>
        </row>
        <row r="348">
          <cell r="A348">
            <v>1739</v>
          </cell>
          <cell r="B348" t="str">
            <v>100D-3503A (PC)</v>
          </cell>
          <cell r="C348" t="str">
            <v>m</v>
          </cell>
          <cell r="D348">
            <v>688</v>
          </cell>
          <cell r="E348">
            <v>6.88</v>
          </cell>
          <cell r="F348">
            <v>695</v>
          </cell>
        </row>
        <row r="349">
          <cell r="A349">
            <v>1740</v>
          </cell>
          <cell r="B349" t="str">
            <v>100D-3004A (PC)</v>
          </cell>
          <cell r="C349" t="str">
            <v>m</v>
          </cell>
          <cell r="D349">
            <v>811.69</v>
          </cell>
          <cell r="E349">
            <v>8.1199999999999992</v>
          </cell>
          <cell r="F349">
            <v>820</v>
          </cell>
        </row>
        <row r="350">
          <cell r="A350">
            <v>1741</v>
          </cell>
          <cell r="B350" t="str">
            <v>100D-3207 (PC)</v>
          </cell>
          <cell r="C350" t="str">
            <v>m</v>
          </cell>
          <cell r="D350">
            <v>1057.8499999999999</v>
          </cell>
          <cell r="E350">
            <v>10.58</v>
          </cell>
          <cell r="F350">
            <v>1068.5</v>
          </cell>
        </row>
        <row r="351">
          <cell r="A351">
            <v>1742</v>
          </cell>
          <cell r="B351" t="str">
            <v>100D-3503 (PC)</v>
          </cell>
          <cell r="C351" t="str">
            <v>m</v>
          </cell>
          <cell r="D351">
            <v>750.92</v>
          </cell>
          <cell r="E351">
            <v>7.51</v>
          </cell>
          <cell r="F351">
            <v>758.5</v>
          </cell>
        </row>
        <row r="352">
          <cell r="A352">
            <v>1743</v>
          </cell>
          <cell r="B352" t="str">
            <v>100D-1914 (PC)</v>
          </cell>
          <cell r="C352" t="str">
            <v>m</v>
          </cell>
          <cell r="D352">
            <v>143.85</v>
          </cell>
          <cell r="E352">
            <v>1.44</v>
          </cell>
          <cell r="F352">
            <v>145.5</v>
          </cell>
        </row>
        <row r="353">
          <cell r="A353">
            <v>1744</v>
          </cell>
          <cell r="B353" t="str">
            <v>100D-3203 (PC)</v>
          </cell>
          <cell r="C353" t="str">
            <v>m</v>
          </cell>
          <cell r="D353">
            <v>798.46</v>
          </cell>
          <cell r="E353">
            <v>7.98</v>
          </cell>
          <cell r="F353">
            <v>806.5</v>
          </cell>
        </row>
        <row r="354">
          <cell r="A354">
            <v>1745</v>
          </cell>
          <cell r="B354" t="str">
            <v>70S-1002-1(PC)</v>
          </cell>
          <cell r="C354" t="str">
            <v>m</v>
          </cell>
          <cell r="D354">
            <v>372.77</v>
          </cell>
          <cell r="E354">
            <v>3.73</v>
          </cell>
          <cell r="F354">
            <v>376.5</v>
          </cell>
        </row>
        <row r="355">
          <cell r="A355">
            <v>1746</v>
          </cell>
          <cell r="B355" t="str">
            <v>70S-1102-1 (PC)</v>
          </cell>
          <cell r="C355" t="str">
            <v>m</v>
          </cell>
          <cell r="D355">
            <v>272.77</v>
          </cell>
          <cell r="E355">
            <v>2.73</v>
          </cell>
          <cell r="F355">
            <v>275.5</v>
          </cell>
        </row>
        <row r="356">
          <cell r="A356">
            <v>1747</v>
          </cell>
          <cell r="B356" t="str">
            <v>70S-1202-1(PC)</v>
          </cell>
          <cell r="C356" t="str">
            <v>m</v>
          </cell>
          <cell r="D356">
            <v>272.77</v>
          </cell>
          <cell r="E356">
            <v>2.73</v>
          </cell>
          <cell r="F356">
            <v>275.5</v>
          </cell>
        </row>
        <row r="357">
          <cell r="A357">
            <v>1748</v>
          </cell>
          <cell r="B357" t="str">
            <v>70S-1704A (PC)</v>
          </cell>
          <cell r="C357" t="str">
            <v>m</v>
          </cell>
          <cell r="D357">
            <v>508.46</v>
          </cell>
          <cell r="E357">
            <v>5.08</v>
          </cell>
          <cell r="F357">
            <v>513.5</v>
          </cell>
        </row>
        <row r="358">
          <cell r="A358">
            <v>1749</v>
          </cell>
          <cell r="B358" t="str">
            <v>70S-1402-1 (PC)</v>
          </cell>
          <cell r="C358" t="str">
            <v>m</v>
          </cell>
          <cell r="D358">
            <v>345.38</v>
          </cell>
          <cell r="E358">
            <v>3.45</v>
          </cell>
          <cell r="F358">
            <v>349</v>
          </cell>
        </row>
        <row r="359">
          <cell r="A359">
            <v>1750</v>
          </cell>
          <cell r="B359" t="str">
            <v>70S-1801 (PC)</v>
          </cell>
          <cell r="C359" t="str">
            <v>m</v>
          </cell>
          <cell r="D359">
            <v>324.14999999999998</v>
          </cell>
          <cell r="E359">
            <v>3.24</v>
          </cell>
          <cell r="F359">
            <v>327.5</v>
          </cell>
        </row>
        <row r="360">
          <cell r="A360">
            <v>1751</v>
          </cell>
          <cell r="B360" t="str">
            <v>70S-1101-2 (PC)</v>
          </cell>
          <cell r="C360" t="str">
            <v>m</v>
          </cell>
          <cell r="D360">
            <v>537.54</v>
          </cell>
          <cell r="E360">
            <v>5.38</v>
          </cell>
          <cell r="F360">
            <v>543</v>
          </cell>
        </row>
        <row r="361">
          <cell r="A361">
            <v>1752</v>
          </cell>
          <cell r="B361" t="str">
            <v>70S-1001-1 (PC)</v>
          </cell>
          <cell r="C361" t="str">
            <v>m</v>
          </cell>
          <cell r="D361">
            <v>531.23</v>
          </cell>
          <cell r="E361">
            <v>5.31</v>
          </cell>
          <cell r="F361">
            <v>536.5</v>
          </cell>
        </row>
        <row r="362">
          <cell r="A362">
            <v>1753</v>
          </cell>
          <cell r="B362" t="str">
            <v>70S-1704A (PC)</v>
          </cell>
          <cell r="C362" t="str">
            <v>m</v>
          </cell>
          <cell r="D362">
            <v>508.46</v>
          </cell>
          <cell r="E362">
            <v>5.08</v>
          </cell>
          <cell r="F362">
            <v>513.5</v>
          </cell>
        </row>
        <row r="363">
          <cell r="A363">
            <v>1754</v>
          </cell>
          <cell r="B363" t="str">
            <v>70S-1401-1 (PC)</v>
          </cell>
          <cell r="C363" t="str">
            <v>m</v>
          </cell>
          <cell r="D363">
            <v>353.23</v>
          </cell>
          <cell r="E363">
            <v>3.53</v>
          </cell>
          <cell r="F363">
            <v>357</v>
          </cell>
        </row>
        <row r="364">
          <cell r="A364">
            <v>1755</v>
          </cell>
          <cell r="B364" t="str">
            <v>70S-1201-1 (PC)</v>
          </cell>
          <cell r="C364" t="str">
            <v>m</v>
          </cell>
          <cell r="D364">
            <v>432.15</v>
          </cell>
          <cell r="E364">
            <v>4.32</v>
          </cell>
          <cell r="F364">
            <v>436.5</v>
          </cell>
        </row>
        <row r="365">
          <cell r="A365">
            <v>1756</v>
          </cell>
          <cell r="B365" t="str">
            <v>70S-1604 (PC)</v>
          </cell>
          <cell r="C365" t="str">
            <v>m</v>
          </cell>
          <cell r="D365">
            <v>422.92</v>
          </cell>
          <cell r="E365">
            <v>4.2300000000000004</v>
          </cell>
          <cell r="F365">
            <v>427</v>
          </cell>
        </row>
        <row r="366">
          <cell r="A366">
            <v>1757</v>
          </cell>
          <cell r="B366" t="str">
            <v>70S-1801 (PC)</v>
          </cell>
          <cell r="C366" t="str">
            <v>m</v>
          </cell>
          <cell r="D366">
            <v>324.14999999999998</v>
          </cell>
          <cell r="E366">
            <v>3.24</v>
          </cell>
          <cell r="F366">
            <v>327.5</v>
          </cell>
        </row>
        <row r="367">
          <cell r="A367">
            <v>1758</v>
          </cell>
          <cell r="B367" t="str">
            <v>PT-5157 (PC)</v>
          </cell>
          <cell r="C367" t="str">
            <v>m</v>
          </cell>
          <cell r="D367">
            <v>354.75</v>
          </cell>
          <cell r="E367">
            <v>3.55</v>
          </cell>
          <cell r="F367">
            <v>358.5</v>
          </cell>
        </row>
        <row r="368">
          <cell r="A368">
            <v>1759</v>
          </cell>
          <cell r="B368" t="str">
            <v>PT-5158 (PC)</v>
          </cell>
          <cell r="C368" t="str">
            <v>m</v>
          </cell>
          <cell r="D368">
            <v>264.10000000000002</v>
          </cell>
          <cell r="E368">
            <v>2.64</v>
          </cell>
          <cell r="F368">
            <v>267</v>
          </cell>
        </row>
        <row r="369">
          <cell r="A369">
            <v>1760</v>
          </cell>
          <cell r="B369" t="str">
            <v>PT-5153 (PC)</v>
          </cell>
          <cell r="C369" t="str">
            <v>m</v>
          </cell>
          <cell r="D369">
            <v>106.23</v>
          </cell>
          <cell r="E369">
            <v>1.06</v>
          </cell>
          <cell r="F369">
            <v>107.5</v>
          </cell>
        </row>
        <row r="370">
          <cell r="A370">
            <v>1761</v>
          </cell>
          <cell r="B370" t="str">
            <v>PT-5154 (PC)</v>
          </cell>
          <cell r="C370" t="str">
            <v>m</v>
          </cell>
          <cell r="D370">
            <v>194.75</v>
          </cell>
          <cell r="E370">
            <v>1.95</v>
          </cell>
          <cell r="F370">
            <v>196.5</v>
          </cell>
        </row>
        <row r="371">
          <cell r="A371">
            <v>1762</v>
          </cell>
          <cell r="B371" t="str">
            <v>A-110A (MF)</v>
          </cell>
          <cell r="C371" t="str">
            <v>m</v>
          </cell>
          <cell r="D371">
            <v>257.05</v>
          </cell>
          <cell r="E371">
            <v>2.57</v>
          </cell>
          <cell r="F371">
            <v>259.5</v>
          </cell>
        </row>
        <row r="372">
          <cell r="A372">
            <v>0</v>
          </cell>
          <cell r="B372" t="str">
            <v>Accessories</v>
          </cell>
          <cell r="C372">
            <v>0</v>
          </cell>
          <cell r="D372">
            <v>0</v>
          </cell>
          <cell r="E372">
            <v>0</v>
          </cell>
          <cell r="F372">
            <v>0</v>
          </cell>
        </row>
        <row r="373">
          <cell r="A373">
            <v>1801</v>
          </cell>
          <cell r="B373" t="str">
            <v>Sliding lock</v>
          </cell>
          <cell r="C373" t="str">
            <v>Nr</v>
          </cell>
          <cell r="D373">
            <v>95</v>
          </cell>
          <cell r="E373">
            <v>0.95</v>
          </cell>
          <cell r="F373">
            <v>96</v>
          </cell>
        </row>
        <row r="374">
          <cell r="A374">
            <v>1802</v>
          </cell>
          <cell r="B374" t="str">
            <v>Roller-70mm</v>
          </cell>
          <cell r="C374" t="str">
            <v>Nr</v>
          </cell>
          <cell r="D374">
            <v>95</v>
          </cell>
          <cell r="E374">
            <v>0.95</v>
          </cell>
          <cell r="F374">
            <v>96</v>
          </cell>
        </row>
        <row r="375">
          <cell r="A375">
            <v>1803</v>
          </cell>
          <cell r="B375" t="str">
            <v>S.T. Screw - 1" No.8</v>
          </cell>
          <cell r="C375" t="str">
            <v>Nr</v>
          </cell>
          <cell r="D375">
            <v>2</v>
          </cell>
          <cell r="E375">
            <v>0.02</v>
          </cell>
          <cell r="F375">
            <v>2</v>
          </cell>
        </row>
        <row r="376">
          <cell r="A376">
            <v>1804</v>
          </cell>
          <cell r="B376" t="str">
            <v>Gasket</v>
          </cell>
          <cell r="C376" t="str">
            <v>m</v>
          </cell>
          <cell r="D376">
            <v>18</v>
          </cell>
          <cell r="E376">
            <v>0.18</v>
          </cell>
          <cell r="F376">
            <v>18.5</v>
          </cell>
        </row>
        <row r="377">
          <cell r="A377">
            <v>1805</v>
          </cell>
          <cell r="B377" t="str">
            <v>Wool felt</v>
          </cell>
          <cell r="C377" t="str">
            <v>m</v>
          </cell>
          <cell r="D377">
            <v>50.5</v>
          </cell>
          <cell r="E377">
            <v>0.51</v>
          </cell>
          <cell r="F377">
            <v>51</v>
          </cell>
        </row>
        <row r="378">
          <cell r="A378">
            <v>1806</v>
          </cell>
          <cell r="B378" t="str">
            <v>Pop rivet 5/32"x1/2"</v>
          </cell>
          <cell r="C378" t="str">
            <v>Nr</v>
          </cell>
          <cell r="D378">
            <v>1.3</v>
          </cell>
          <cell r="E378">
            <v>0.01</v>
          </cell>
          <cell r="F378">
            <v>1.3</v>
          </cell>
        </row>
        <row r="379">
          <cell r="A379">
            <v>1807</v>
          </cell>
          <cell r="B379" t="str">
            <v>Plastic guide</v>
          </cell>
          <cell r="C379" t="str">
            <v>Nr</v>
          </cell>
          <cell r="D379">
            <v>1.7</v>
          </cell>
          <cell r="E379">
            <v>0.02</v>
          </cell>
          <cell r="F379">
            <v>1.75</v>
          </cell>
        </row>
        <row r="380">
          <cell r="A380">
            <v>1808</v>
          </cell>
          <cell r="B380" t="str">
            <v>Cap 3/8" dia.</v>
          </cell>
          <cell r="C380" t="str">
            <v>Nr</v>
          </cell>
          <cell r="D380">
            <v>2.75</v>
          </cell>
          <cell r="E380">
            <v>0.03</v>
          </cell>
          <cell r="F380">
            <v>2.75</v>
          </cell>
        </row>
        <row r="381">
          <cell r="A381">
            <v>1809</v>
          </cell>
          <cell r="B381" t="str">
            <v>S.T. Screw - 2" No.8</v>
          </cell>
          <cell r="C381" t="str">
            <v>Nr</v>
          </cell>
          <cell r="D381">
            <v>35</v>
          </cell>
          <cell r="E381">
            <v>0.35</v>
          </cell>
          <cell r="F381">
            <v>35.5</v>
          </cell>
        </row>
        <row r="382">
          <cell r="A382">
            <v>1810</v>
          </cell>
          <cell r="B382" t="str">
            <v>Casement lock</v>
          </cell>
          <cell r="C382" t="str">
            <v>Nr</v>
          </cell>
          <cell r="D382">
            <v>165</v>
          </cell>
          <cell r="E382">
            <v>1.65</v>
          </cell>
          <cell r="F382">
            <v>166.5</v>
          </cell>
        </row>
        <row r="383">
          <cell r="A383">
            <v>1811</v>
          </cell>
          <cell r="B383" t="str">
            <v>Bar hinges</v>
          </cell>
          <cell r="C383" t="str">
            <v>Pair</v>
          </cell>
          <cell r="D383">
            <v>440</v>
          </cell>
          <cell r="E383">
            <v>4.4000000000000004</v>
          </cell>
          <cell r="F383">
            <v>444.5</v>
          </cell>
        </row>
        <row r="384">
          <cell r="A384">
            <v>1812</v>
          </cell>
          <cell r="B384" t="str">
            <v>Weather strip</v>
          </cell>
          <cell r="C384" t="str">
            <v>m</v>
          </cell>
          <cell r="D384">
            <v>42</v>
          </cell>
          <cell r="E384">
            <v>0.42</v>
          </cell>
          <cell r="F384">
            <v>42.5</v>
          </cell>
        </row>
        <row r="385">
          <cell r="A385">
            <v>1813</v>
          </cell>
          <cell r="B385" t="str">
            <v>Pop rivet 3/16"x1/2"</v>
          </cell>
          <cell r="C385" t="str">
            <v>Nr</v>
          </cell>
          <cell r="D385">
            <v>2.25</v>
          </cell>
          <cell r="E385">
            <v>0.02</v>
          </cell>
          <cell r="F385">
            <v>2.5</v>
          </cell>
        </row>
        <row r="386">
          <cell r="A386">
            <v>1814</v>
          </cell>
          <cell r="B386" t="str">
            <v>S.T. Screw - No.8 x 1/2'</v>
          </cell>
          <cell r="C386" t="str">
            <v>Nr</v>
          </cell>
          <cell r="D386">
            <v>1.5</v>
          </cell>
          <cell r="E386">
            <v>0.02</v>
          </cell>
          <cell r="F386">
            <v>1.5</v>
          </cell>
        </row>
        <row r="387">
          <cell r="A387">
            <v>1815</v>
          </cell>
          <cell r="B387" t="str">
            <v>Door lock</v>
          </cell>
          <cell r="C387" t="str">
            <v>Nr</v>
          </cell>
          <cell r="D387">
            <v>895</v>
          </cell>
          <cell r="E387">
            <v>8.9499999999999993</v>
          </cell>
          <cell r="F387">
            <v>904</v>
          </cell>
        </row>
        <row r="388">
          <cell r="A388">
            <v>1816</v>
          </cell>
          <cell r="B388" t="str">
            <v>Butt hinge</v>
          </cell>
          <cell r="C388" t="str">
            <v>Nr</v>
          </cell>
          <cell r="D388">
            <v>100</v>
          </cell>
          <cell r="E388">
            <v>1</v>
          </cell>
          <cell r="F388">
            <v>101</v>
          </cell>
        </row>
        <row r="389">
          <cell r="A389">
            <v>1817</v>
          </cell>
          <cell r="B389" t="str">
            <v>Door handle with cap nut</v>
          </cell>
          <cell r="C389" t="str">
            <v>Pair</v>
          </cell>
          <cell r="D389">
            <v>1074</v>
          </cell>
          <cell r="E389">
            <v>10.74</v>
          </cell>
          <cell r="F389">
            <v>1085</v>
          </cell>
        </row>
        <row r="390">
          <cell r="A390">
            <v>1818</v>
          </cell>
          <cell r="B390" t="str">
            <v>Rivert (C Sk) 5/32"x1/2"</v>
          </cell>
          <cell r="C390" t="str">
            <v>Nr</v>
          </cell>
          <cell r="D390">
            <v>1.25</v>
          </cell>
          <cell r="E390">
            <v>0.01</v>
          </cell>
          <cell r="F390">
            <v>1.25</v>
          </cell>
        </row>
        <row r="391">
          <cell r="A391">
            <v>1819</v>
          </cell>
          <cell r="B391" t="str">
            <v>Threaded bar with nut</v>
          </cell>
          <cell r="C391" t="str">
            <v>m</v>
          </cell>
          <cell r="D391">
            <v>224</v>
          </cell>
          <cell r="E391">
            <v>2.2400000000000002</v>
          </cell>
          <cell r="F391">
            <v>226.5</v>
          </cell>
        </row>
        <row r="392">
          <cell r="A392">
            <v>1820</v>
          </cell>
          <cell r="B392" t="str">
            <v>Door closer</v>
          </cell>
          <cell r="C392" t="str">
            <v>Nr</v>
          </cell>
          <cell r="D392">
            <v>2250</v>
          </cell>
          <cell r="E392">
            <v>22.5</v>
          </cell>
          <cell r="F392">
            <v>2272.5</v>
          </cell>
        </row>
        <row r="393">
          <cell r="A393">
            <v>1821</v>
          </cell>
          <cell r="B393" t="str">
            <v>Pop rivet 1/8"x1/2"</v>
          </cell>
          <cell r="C393" t="str">
            <v>Nr</v>
          </cell>
          <cell r="D393">
            <v>1.25</v>
          </cell>
          <cell r="E393">
            <v>0.01</v>
          </cell>
          <cell r="F393">
            <v>1.25</v>
          </cell>
        </row>
        <row r="394">
          <cell r="A394">
            <v>1822</v>
          </cell>
          <cell r="B394" t="str">
            <v>G. I. Channel</v>
          </cell>
          <cell r="C394" t="str">
            <v>m</v>
          </cell>
          <cell r="D394">
            <v>168</v>
          </cell>
          <cell r="E394">
            <v>1.68</v>
          </cell>
          <cell r="F394">
            <v>169.5</v>
          </cell>
        </row>
        <row r="395">
          <cell r="A395">
            <v>1823</v>
          </cell>
          <cell r="B395" t="str">
            <v>White board, chip board or melamine board</v>
          </cell>
          <cell r="C395" t="str">
            <v>m2</v>
          </cell>
          <cell r="D395">
            <v>253</v>
          </cell>
          <cell r="E395">
            <v>2.5299999999999998</v>
          </cell>
          <cell r="F395">
            <v>255.5</v>
          </cell>
        </row>
        <row r="396">
          <cell r="A396">
            <v>0</v>
          </cell>
          <cell r="B396" t="str">
            <v>Glazier</v>
          </cell>
          <cell r="C396">
            <v>0</v>
          </cell>
          <cell r="D396">
            <v>0</v>
          </cell>
          <cell r="E396">
            <v>0</v>
          </cell>
          <cell r="F396">
            <v>0</v>
          </cell>
        </row>
        <row r="397">
          <cell r="A397">
            <v>1901</v>
          </cell>
          <cell r="B397" t="str">
            <v>5mm thick figured glass panes</v>
          </cell>
          <cell r="C397" t="str">
            <v>m2</v>
          </cell>
          <cell r="D397">
            <v>1184</v>
          </cell>
          <cell r="E397">
            <v>11.84</v>
          </cell>
          <cell r="F397">
            <v>1196</v>
          </cell>
        </row>
        <row r="398">
          <cell r="A398">
            <v>1902</v>
          </cell>
          <cell r="B398" t="str">
            <v>3mm thick figured glass panes</v>
          </cell>
          <cell r="C398" t="str">
            <v>m2</v>
          </cell>
          <cell r="D398">
            <v>592</v>
          </cell>
          <cell r="E398">
            <v>5.92</v>
          </cell>
          <cell r="F398">
            <v>598</v>
          </cell>
        </row>
        <row r="399">
          <cell r="A399">
            <v>1903</v>
          </cell>
          <cell r="B399" t="str">
            <v>5mm thick clear glass panes</v>
          </cell>
          <cell r="C399" t="str">
            <v>m2</v>
          </cell>
          <cell r="D399">
            <v>861</v>
          </cell>
          <cell r="E399">
            <v>8.61</v>
          </cell>
          <cell r="F399">
            <v>869.5</v>
          </cell>
        </row>
        <row r="400">
          <cell r="A400">
            <v>1904</v>
          </cell>
          <cell r="B400" t="str">
            <v>3mm thick clear glass panes</v>
          </cell>
          <cell r="C400" t="str">
            <v>m2</v>
          </cell>
          <cell r="D400">
            <v>646</v>
          </cell>
          <cell r="E400">
            <v>6.46</v>
          </cell>
          <cell r="F400">
            <v>652.5</v>
          </cell>
        </row>
        <row r="401">
          <cell r="A401">
            <v>1905</v>
          </cell>
          <cell r="B401" t="str">
            <v>5mm thick tinted glass panes</v>
          </cell>
          <cell r="C401" t="str">
            <v>m2</v>
          </cell>
          <cell r="D401">
            <v>1140</v>
          </cell>
          <cell r="E401">
            <v>11.4</v>
          </cell>
          <cell r="F401">
            <v>1151.5</v>
          </cell>
        </row>
        <row r="402">
          <cell r="A402">
            <v>1906</v>
          </cell>
          <cell r="B402" t="str">
            <v>3mm thick tinted glass panes</v>
          </cell>
          <cell r="C402" t="str">
            <v>m2</v>
          </cell>
          <cell r="D402">
            <v>750</v>
          </cell>
          <cell r="E402">
            <v>7.5</v>
          </cell>
          <cell r="F402">
            <v>757.5</v>
          </cell>
        </row>
        <row r="403">
          <cell r="A403">
            <v>1907</v>
          </cell>
          <cell r="B403" t="str">
            <v>12mmx12mm teak beading</v>
          </cell>
          <cell r="C403" t="str">
            <v>m</v>
          </cell>
          <cell r="D403">
            <v>5</v>
          </cell>
          <cell r="E403">
            <v>0.05</v>
          </cell>
          <cell r="F403">
            <v>5</v>
          </cell>
        </row>
        <row r="404">
          <cell r="A404">
            <v>0</v>
          </cell>
          <cell r="B404" t="str">
            <v>Plasterer</v>
          </cell>
          <cell r="C404">
            <v>0</v>
          </cell>
          <cell r="D404">
            <v>0</v>
          </cell>
          <cell r="E404">
            <v>0</v>
          </cell>
          <cell r="F404">
            <v>0</v>
          </cell>
        </row>
        <row r="405">
          <cell r="A405">
            <v>2001</v>
          </cell>
          <cell r="B405" t="str">
            <v>Lime</v>
          </cell>
          <cell r="C405" t="str">
            <v>kg</v>
          </cell>
          <cell r="D405">
            <v>20</v>
          </cell>
          <cell r="E405">
            <v>0.2</v>
          </cell>
          <cell r="F405">
            <v>20.5</v>
          </cell>
        </row>
        <row r="406">
          <cell r="A406">
            <v>0</v>
          </cell>
          <cell r="B406" t="str">
            <v>Plumber</v>
          </cell>
          <cell r="C406">
            <v>0</v>
          </cell>
          <cell r="D406">
            <v>0</v>
          </cell>
          <cell r="E406">
            <v>0</v>
          </cell>
          <cell r="F406">
            <v>0</v>
          </cell>
        </row>
        <row r="407">
          <cell r="A407">
            <v>2101</v>
          </cell>
          <cell r="B407" t="str">
            <v>12mm (1/2") ball valve - Brass</v>
          </cell>
          <cell r="C407" t="str">
            <v>Nr</v>
          </cell>
          <cell r="D407">
            <v>525</v>
          </cell>
          <cell r="E407">
            <v>5.25</v>
          </cell>
          <cell r="F407">
            <v>530.5</v>
          </cell>
        </row>
        <row r="408">
          <cell r="A408">
            <v>2102</v>
          </cell>
          <cell r="B408" t="str">
            <v>12mm (1/2") ball valve - PVC</v>
          </cell>
          <cell r="C408" t="str">
            <v>Nr</v>
          </cell>
          <cell r="D408">
            <v>95</v>
          </cell>
          <cell r="E408">
            <v>0.95</v>
          </cell>
          <cell r="F408">
            <v>96</v>
          </cell>
        </row>
        <row r="409">
          <cell r="A409">
            <v>2103</v>
          </cell>
          <cell r="B409" t="str">
            <v>20mm (3/4") ball valve - Brass</v>
          </cell>
          <cell r="C409" t="str">
            <v>Nr</v>
          </cell>
          <cell r="D409">
            <v>750</v>
          </cell>
          <cell r="E409">
            <v>7.5</v>
          </cell>
          <cell r="F409">
            <v>757.5</v>
          </cell>
        </row>
        <row r="410">
          <cell r="A410">
            <v>2104</v>
          </cell>
          <cell r="B410" t="str">
            <v>20mm (3/4") ball valve - PVC</v>
          </cell>
          <cell r="C410" t="str">
            <v>Nr</v>
          </cell>
          <cell r="D410">
            <v>140</v>
          </cell>
          <cell r="E410">
            <v>1.4</v>
          </cell>
          <cell r="F410">
            <v>141.5</v>
          </cell>
        </row>
        <row r="411">
          <cell r="A411">
            <v>2105</v>
          </cell>
          <cell r="B411" t="str">
            <v>25mm (1") ball valve - Brass</v>
          </cell>
          <cell r="C411" t="str">
            <v>Nr</v>
          </cell>
          <cell r="D411">
            <v>1100</v>
          </cell>
          <cell r="E411">
            <v>11</v>
          </cell>
          <cell r="F411">
            <v>1111</v>
          </cell>
        </row>
        <row r="412">
          <cell r="A412">
            <v>2106</v>
          </cell>
          <cell r="B412" t="str">
            <v>25mm (1") ball valve - PVC</v>
          </cell>
          <cell r="C412" t="str">
            <v>Nr</v>
          </cell>
          <cell r="D412">
            <v>190</v>
          </cell>
          <cell r="E412">
            <v>1.9</v>
          </cell>
          <cell r="F412">
            <v>192</v>
          </cell>
        </row>
        <row r="413">
          <cell r="A413">
            <v>2107</v>
          </cell>
          <cell r="B413" t="str">
            <v>38mm (1 1/2") ball valve - Brass</v>
          </cell>
          <cell r="C413" t="str">
            <v>Nr</v>
          </cell>
          <cell r="D413">
            <v>1450</v>
          </cell>
          <cell r="E413">
            <v>14.5</v>
          </cell>
          <cell r="F413">
            <v>1464.5</v>
          </cell>
        </row>
        <row r="414">
          <cell r="A414">
            <v>2108</v>
          </cell>
          <cell r="B414" t="str">
            <v>38mm (1 1/2") ball valve - PVC</v>
          </cell>
          <cell r="C414" t="str">
            <v>Nr</v>
          </cell>
          <cell r="D414">
            <v>495</v>
          </cell>
          <cell r="E414">
            <v>4.95</v>
          </cell>
          <cell r="F414">
            <v>500</v>
          </cell>
        </row>
        <row r="415">
          <cell r="A415">
            <v>2109</v>
          </cell>
          <cell r="B415" t="str">
            <v>12mm (1/2") bib tap - Brass</v>
          </cell>
          <cell r="C415" t="str">
            <v>Nr</v>
          </cell>
          <cell r="D415">
            <v>500</v>
          </cell>
          <cell r="E415">
            <v>5</v>
          </cell>
          <cell r="F415">
            <v>505</v>
          </cell>
        </row>
        <row r="416">
          <cell r="A416">
            <v>2110</v>
          </cell>
          <cell r="B416" t="str">
            <v>12mm (1/2") bib tap - Chromium Plated</v>
          </cell>
          <cell r="C416" t="str">
            <v>Nr</v>
          </cell>
          <cell r="D416">
            <v>1750</v>
          </cell>
          <cell r="E416">
            <v>17.5</v>
          </cell>
          <cell r="F416">
            <v>1767.5</v>
          </cell>
        </row>
        <row r="417">
          <cell r="A417">
            <v>2111</v>
          </cell>
          <cell r="B417" t="str">
            <v>12mm (1/2") bib tap - PVC</v>
          </cell>
          <cell r="C417" t="str">
            <v>Nr</v>
          </cell>
          <cell r="D417">
            <v>90</v>
          </cell>
          <cell r="E417">
            <v>0.9</v>
          </cell>
          <cell r="F417">
            <v>91</v>
          </cell>
        </row>
        <row r="418">
          <cell r="A418">
            <v>2112</v>
          </cell>
          <cell r="B418" t="str">
            <v>12mm (1/2") gate valve - Brass</v>
          </cell>
          <cell r="C418" t="str">
            <v>Nr</v>
          </cell>
          <cell r="D418">
            <v>500</v>
          </cell>
          <cell r="E418">
            <v>5</v>
          </cell>
          <cell r="F418">
            <v>505</v>
          </cell>
        </row>
        <row r="419">
          <cell r="A419">
            <v>2113</v>
          </cell>
          <cell r="B419" t="str">
            <v>12mm (1/2") gate valve - PVC</v>
          </cell>
          <cell r="C419" t="str">
            <v>Nr</v>
          </cell>
          <cell r="D419">
            <v>90</v>
          </cell>
          <cell r="E419">
            <v>0.9</v>
          </cell>
          <cell r="F419">
            <v>91</v>
          </cell>
        </row>
        <row r="420">
          <cell r="A420">
            <v>2114</v>
          </cell>
          <cell r="B420" t="str">
            <v>20mm (3/4") gate valve - Brass</v>
          </cell>
          <cell r="C420" t="str">
            <v>Nr</v>
          </cell>
          <cell r="D420">
            <v>625</v>
          </cell>
          <cell r="E420">
            <v>6.25</v>
          </cell>
          <cell r="F420">
            <v>631.5</v>
          </cell>
        </row>
        <row r="421">
          <cell r="A421">
            <v>2115</v>
          </cell>
          <cell r="B421" t="str">
            <v>20mm (3/4") gate valve - PVC</v>
          </cell>
          <cell r="C421" t="str">
            <v>Nr</v>
          </cell>
          <cell r="D421">
            <v>165</v>
          </cell>
          <cell r="E421">
            <v>1.65</v>
          </cell>
          <cell r="F421">
            <v>166.5</v>
          </cell>
        </row>
        <row r="422">
          <cell r="A422">
            <v>2116</v>
          </cell>
          <cell r="B422" t="str">
            <v>25mm (1") gate valve - Brass</v>
          </cell>
          <cell r="C422" t="str">
            <v>Nr</v>
          </cell>
          <cell r="D422">
            <v>1000</v>
          </cell>
          <cell r="E422">
            <v>10</v>
          </cell>
          <cell r="F422">
            <v>1010</v>
          </cell>
        </row>
        <row r="423">
          <cell r="A423">
            <v>2117</v>
          </cell>
          <cell r="B423" t="str">
            <v>25mm (1") gate valve - PVC</v>
          </cell>
          <cell r="C423" t="str">
            <v>Nr</v>
          </cell>
          <cell r="D423">
            <v>185</v>
          </cell>
          <cell r="E423">
            <v>1.85</v>
          </cell>
          <cell r="F423">
            <v>187</v>
          </cell>
        </row>
        <row r="424">
          <cell r="A424">
            <v>2118</v>
          </cell>
          <cell r="B424" t="str">
            <v>38mm (1 1/2") gate valve - Brass</v>
          </cell>
          <cell r="C424" t="str">
            <v>Nr</v>
          </cell>
          <cell r="D424">
            <v>1500</v>
          </cell>
          <cell r="E424">
            <v>15</v>
          </cell>
          <cell r="F424">
            <v>1515</v>
          </cell>
        </row>
        <row r="425">
          <cell r="A425">
            <v>2119</v>
          </cell>
          <cell r="B425" t="str">
            <v>38mm (1 1/2") gate valve - PVC</v>
          </cell>
          <cell r="C425" t="str">
            <v>Nr</v>
          </cell>
          <cell r="D425">
            <v>410</v>
          </cell>
          <cell r="E425">
            <v>4.0999999999999996</v>
          </cell>
          <cell r="F425">
            <v>414</v>
          </cell>
        </row>
        <row r="426">
          <cell r="A426">
            <v>2120</v>
          </cell>
          <cell r="B426" t="str">
            <v>20mm (1/2") Type 1000 PVC pipes</v>
          </cell>
          <cell r="C426" t="str">
            <v>m</v>
          </cell>
          <cell r="D426">
            <v>45.75</v>
          </cell>
          <cell r="E426">
            <v>0.46</v>
          </cell>
          <cell r="F426">
            <v>46</v>
          </cell>
        </row>
        <row r="427">
          <cell r="A427">
            <v>2121</v>
          </cell>
          <cell r="B427" t="str">
            <v>20mm (1/2") Type 600 PVC pipes</v>
          </cell>
          <cell r="C427" t="str">
            <v>m</v>
          </cell>
          <cell r="D427" t="str">
            <v>…</v>
          </cell>
          <cell r="E427">
            <v>0</v>
          </cell>
          <cell r="F427">
            <v>0</v>
          </cell>
        </row>
        <row r="428">
          <cell r="A428">
            <v>2122</v>
          </cell>
          <cell r="B428" t="str">
            <v>20mm (1/2") Type 400 PVC pipes</v>
          </cell>
          <cell r="C428" t="str">
            <v>m</v>
          </cell>
          <cell r="D428" t="str">
            <v>….</v>
          </cell>
          <cell r="E428">
            <v>0</v>
          </cell>
          <cell r="F428">
            <v>0</v>
          </cell>
        </row>
        <row r="429">
          <cell r="A429">
            <v>2123</v>
          </cell>
          <cell r="B429" t="str">
            <v>25mm (3/4") Type 1000 PVC pipes</v>
          </cell>
          <cell r="C429" t="str">
            <v>m</v>
          </cell>
          <cell r="D429">
            <v>115.25</v>
          </cell>
          <cell r="E429">
            <v>1.1499999999999999</v>
          </cell>
          <cell r="F429">
            <v>101.5</v>
          </cell>
        </row>
        <row r="430">
          <cell r="A430">
            <v>2124</v>
          </cell>
          <cell r="B430" t="str">
            <v>25mm (3/4") Type 600 PVC pipes</v>
          </cell>
          <cell r="C430" t="str">
            <v>m</v>
          </cell>
          <cell r="D430" t="str">
            <v>….</v>
          </cell>
          <cell r="E430">
            <v>0</v>
          </cell>
          <cell r="F430">
            <v>0</v>
          </cell>
        </row>
        <row r="431">
          <cell r="A431">
            <v>2125</v>
          </cell>
          <cell r="B431" t="str">
            <v>25mm (3/4") Type 400 PVC pipes</v>
          </cell>
          <cell r="C431" t="str">
            <v>m</v>
          </cell>
          <cell r="D431" t="str">
            <v>…..</v>
          </cell>
          <cell r="E431">
            <v>0</v>
          </cell>
          <cell r="F431">
            <v>0</v>
          </cell>
        </row>
        <row r="432">
          <cell r="A432">
            <v>2126</v>
          </cell>
          <cell r="B432" t="str">
            <v>32mm (1") Type 1000 PVC pipes</v>
          </cell>
          <cell r="C432" t="str">
            <v>m</v>
          </cell>
          <cell r="D432">
            <v>181.25</v>
          </cell>
          <cell r="E432">
            <v>1.81</v>
          </cell>
          <cell r="F432">
            <v>165.5</v>
          </cell>
        </row>
        <row r="433">
          <cell r="A433">
            <v>2127</v>
          </cell>
          <cell r="B433" t="str">
            <v>32mm (1") Type 600 PVC pipes</v>
          </cell>
          <cell r="C433" t="str">
            <v>m</v>
          </cell>
          <cell r="D433">
            <v>82</v>
          </cell>
          <cell r="E433">
            <v>0.82</v>
          </cell>
          <cell r="F433">
            <v>80.5</v>
          </cell>
        </row>
        <row r="434">
          <cell r="A434">
            <v>2128</v>
          </cell>
          <cell r="B434" t="str">
            <v>32mm (1") Type 400 PVC pipes</v>
          </cell>
          <cell r="C434" t="str">
            <v>m</v>
          </cell>
          <cell r="D434" t="str">
            <v>….</v>
          </cell>
          <cell r="E434">
            <v>0</v>
          </cell>
          <cell r="F434">
            <v>0</v>
          </cell>
        </row>
        <row r="435">
          <cell r="A435">
            <v>2129</v>
          </cell>
          <cell r="B435" t="str">
            <v>40mm (1 1/4") Type 1000 PVC pipes</v>
          </cell>
          <cell r="C435" t="str">
            <v>m</v>
          </cell>
          <cell r="D435">
            <v>245</v>
          </cell>
          <cell r="E435">
            <v>2.4500000000000002</v>
          </cell>
          <cell r="F435">
            <v>223.5</v>
          </cell>
        </row>
        <row r="436">
          <cell r="A436">
            <v>2130</v>
          </cell>
          <cell r="B436" t="str">
            <v>40mm (1 1/4") Type 600 PVC pipes</v>
          </cell>
          <cell r="C436" t="str">
            <v>m</v>
          </cell>
          <cell r="D436">
            <v>189.5</v>
          </cell>
          <cell r="E436">
            <v>1.9</v>
          </cell>
          <cell r="F436">
            <v>156.5</v>
          </cell>
        </row>
        <row r="437">
          <cell r="A437">
            <v>2131</v>
          </cell>
          <cell r="B437" t="str">
            <v>40mm (1 1/4") Type 400 PVC pipes</v>
          </cell>
          <cell r="C437" t="str">
            <v>m</v>
          </cell>
          <cell r="D437" t="str">
            <v>…..</v>
          </cell>
          <cell r="E437">
            <v>0</v>
          </cell>
          <cell r="F437">
            <v>0</v>
          </cell>
        </row>
        <row r="438">
          <cell r="A438">
            <v>2132</v>
          </cell>
          <cell r="B438" t="str">
            <v>50mm (1 1/2") Type 1000 PVC pipes</v>
          </cell>
          <cell r="C438" t="str">
            <v>m</v>
          </cell>
          <cell r="D438">
            <v>337.75</v>
          </cell>
          <cell r="E438">
            <v>3.38</v>
          </cell>
          <cell r="F438">
            <v>320.5</v>
          </cell>
        </row>
        <row r="439">
          <cell r="A439">
            <v>2133</v>
          </cell>
          <cell r="B439" t="str">
            <v>50mm (1 1/2") Type 600 PVC pipes</v>
          </cell>
          <cell r="C439" t="str">
            <v>m</v>
          </cell>
          <cell r="D439">
            <v>238</v>
          </cell>
          <cell r="E439">
            <v>2.38</v>
          </cell>
          <cell r="F439">
            <v>211</v>
          </cell>
        </row>
        <row r="440">
          <cell r="A440">
            <v>2134</v>
          </cell>
          <cell r="B440" t="str">
            <v>50mm (1 1/2") Type 400 PVC pipes</v>
          </cell>
          <cell r="C440" t="str">
            <v>m</v>
          </cell>
          <cell r="D440">
            <v>182.25</v>
          </cell>
          <cell r="E440">
            <v>1.82</v>
          </cell>
          <cell r="F440">
            <v>148</v>
          </cell>
        </row>
        <row r="441">
          <cell r="A441">
            <v>2135</v>
          </cell>
          <cell r="B441" t="str">
            <v>63mm (2") Type 1000 PVC pipes</v>
          </cell>
          <cell r="C441" t="str">
            <v>m</v>
          </cell>
          <cell r="D441">
            <v>572.75</v>
          </cell>
          <cell r="E441">
            <v>5.73</v>
          </cell>
          <cell r="F441">
            <v>543</v>
          </cell>
        </row>
        <row r="442">
          <cell r="A442">
            <v>2136</v>
          </cell>
          <cell r="B442" t="str">
            <v>63mm (2") Type 600 PVC pipes</v>
          </cell>
          <cell r="C442" t="str">
            <v>m</v>
          </cell>
          <cell r="D442">
            <v>388</v>
          </cell>
          <cell r="E442">
            <v>3.88</v>
          </cell>
          <cell r="F442">
            <v>346</v>
          </cell>
        </row>
        <row r="443">
          <cell r="A443">
            <v>2137</v>
          </cell>
          <cell r="B443" t="str">
            <v>63mm (2") Type 400 PVC pipes</v>
          </cell>
          <cell r="C443" t="str">
            <v>m</v>
          </cell>
          <cell r="D443">
            <v>344</v>
          </cell>
          <cell r="E443">
            <v>3.44</v>
          </cell>
          <cell r="F443">
            <v>270</v>
          </cell>
        </row>
        <row r="444">
          <cell r="A444">
            <v>2138</v>
          </cell>
          <cell r="B444" t="str">
            <v>75mm (2 1/2") Type 600 PVC pipes</v>
          </cell>
          <cell r="C444" t="str">
            <v>m</v>
          </cell>
          <cell r="D444">
            <v>720.5</v>
          </cell>
          <cell r="E444">
            <v>7.21</v>
          </cell>
          <cell r="F444">
            <v>693</v>
          </cell>
        </row>
        <row r="445">
          <cell r="A445">
            <v>2139</v>
          </cell>
          <cell r="B445" t="str">
            <v>75mm (2 1/2") Type 400 PVC pipes</v>
          </cell>
          <cell r="C445" t="str">
            <v>m</v>
          </cell>
          <cell r="D445">
            <v>500</v>
          </cell>
          <cell r="E445">
            <v>5</v>
          </cell>
          <cell r="F445">
            <v>439.5</v>
          </cell>
        </row>
        <row r="446">
          <cell r="A446">
            <v>2140</v>
          </cell>
          <cell r="B446" t="str">
            <v>90mm (3") Type 600 PVC pipes</v>
          </cell>
          <cell r="C446" t="str">
            <v>m</v>
          </cell>
          <cell r="D446">
            <v>732.5</v>
          </cell>
          <cell r="E446">
            <v>7.33</v>
          </cell>
          <cell r="F446">
            <v>915</v>
          </cell>
        </row>
        <row r="447">
          <cell r="A447">
            <v>2141</v>
          </cell>
          <cell r="B447" t="str">
            <v>90mm (3") Type 400 PVC pipes</v>
          </cell>
          <cell r="C447" t="str">
            <v>m</v>
          </cell>
          <cell r="D447">
            <v>555</v>
          </cell>
          <cell r="E447">
            <v>5.55</v>
          </cell>
          <cell r="F447">
            <v>603.5</v>
          </cell>
        </row>
        <row r="448">
          <cell r="A448">
            <v>2142</v>
          </cell>
          <cell r="B448" t="str">
            <v>110mm (4") Type 600 PVC pipes</v>
          </cell>
          <cell r="C448" t="str">
            <v>m</v>
          </cell>
          <cell r="D448">
            <v>1189.5</v>
          </cell>
          <cell r="E448">
            <v>11.9</v>
          </cell>
          <cell r="F448">
            <v>1338.5</v>
          </cell>
        </row>
        <row r="449">
          <cell r="A449">
            <v>2143</v>
          </cell>
          <cell r="B449" t="str">
            <v>110mm (4") Type 400 PVC pipes</v>
          </cell>
          <cell r="C449" t="str">
            <v>m</v>
          </cell>
          <cell r="D449">
            <v>652.5</v>
          </cell>
          <cell r="E449">
            <v>6.53</v>
          </cell>
          <cell r="F449">
            <v>635.5</v>
          </cell>
        </row>
        <row r="450">
          <cell r="A450">
            <v>2144</v>
          </cell>
          <cell r="B450" t="str">
            <v>12mm (1/2")  angle valve - Chromium Plated</v>
          </cell>
          <cell r="C450" t="str">
            <v>Nr</v>
          </cell>
          <cell r="D450">
            <v>1120</v>
          </cell>
          <cell r="E450">
            <v>11.2</v>
          </cell>
          <cell r="F450">
            <v>1131.2</v>
          </cell>
        </row>
        <row r="451">
          <cell r="A451">
            <v>2145</v>
          </cell>
          <cell r="B451" t="str">
            <v xml:space="preserve">12mm (1/2") flexible horse (450mm) </v>
          </cell>
          <cell r="C451" t="str">
            <v>Nr</v>
          </cell>
          <cell r="D451">
            <v>250</v>
          </cell>
          <cell r="E451">
            <v>2.5</v>
          </cell>
          <cell r="F451">
            <v>252.5</v>
          </cell>
        </row>
        <row r="452">
          <cell r="A452">
            <v>0</v>
          </cell>
          <cell r="B452" t="str">
            <v>Sanitary Fittings</v>
          </cell>
          <cell r="C452">
            <v>0</v>
          </cell>
          <cell r="D452">
            <v>0</v>
          </cell>
          <cell r="E452">
            <v>0</v>
          </cell>
          <cell r="F452">
            <v>0</v>
          </cell>
        </row>
        <row r="453">
          <cell r="A453">
            <v>2201</v>
          </cell>
          <cell r="B453" t="str">
            <v>Kitchen sink with single bowl and single drain board</v>
          </cell>
          <cell r="C453" t="str">
            <v>Nr</v>
          </cell>
          <cell r="D453">
            <v>2750</v>
          </cell>
          <cell r="E453">
            <v>27.5</v>
          </cell>
          <cell r="F453">
            <v>2777.5</v>
          </cell>
        </row>
        <row r="454">
          <cell r="A454">
            <v>2202</v>
          </cell>
          <cell r="B454" t="str">
            <v>Kitchen sink with single bowl and double drain board</v>
          </cell>
          <cell r="C454" t="str">
            <v>Nr</v>
          </cell>
          <cell r="D454">
            <v>3150</v>
          </cell>
          <cell r="E454">
            <v>31.5</v>
          </cell>
          <cell r="F454">
            <v>3181.5</v>
          </cell>
        </row>
        <row r="455">
          <cell r="A455">
            <v>2203</v>
          </cell>
          <cell r="B455" t="str">
            <v>Kitchen sink with double bowl and double drain board</v>
          </cell>
          <cell r="C455" t="str">
            <v>Nr</v>
          </cell>
          <cell r="D455">
            <v>5500</v>
          </cell>
          <cell r="E455">
            <v>55</v>
          </cell>
          <cell r="F455">
            <v>5555</v>
          </cell>
        </row>
        <row r="456">
          <cell r="A456">
            <v>2204</v>
          </cell>
          <cell r="B456" t="str">
            <v>Heavy quality chromium plated swan tap</v>
          </cell>
          <cell r="C456" t="str">
            <v>Nr</v>
          </cell>
          <cell r="D456">
            <v>775</v>
          </cell>
          <cell r="E456">
            <v>7.75</v>
          </cell>
          <cell r="F456">
            <v>783</v>
          </cell>
        </row>
        <row r="457">
          <cell r="A457">
            <v>2205</v>
          </cell>
          <cell r="B457" t="str">
            <v>Tee Iron brackets</v>
          </cell>
          <cell r="C457" t="str">
            <v>Nr</v>
          </cell>
          <cell r="D457">
            <v>100</v>
          </cell>
          <cell r="E457">
            <v>1</v>
          </cell>
          <cell r="F457">
            <v>101</v>
          </cell>
        </row>
        <row r="458">
          <cell r="A458">
            <v>2206</v>
          </cell>
          <cell r="B458" t="str">
            <v>Ceramic wash basin (LCL)</v>
          </cell>
          <cell r="C458" t="str">
            <v>Nr</v>
          </cell>
          <cell r="D458">
            <v>2800</v>
          </cell>
          <cell r="E458">
            <v>28</v>
          </cell>
          <cell r="F458">
            <v>2828</v>
          </cell>
        </row>
        <row r="459">
          <cell r="A459">
            <v>2207</v>
          </cell>
          <cell r="B459" t="str">
            <v>Ceramic wash basin - Pedestal (LCL)</v>
          </cell>
          <cell r="C459" t="str">
            <v>Nr</v>
          </cell>
          <cell r="D459">
            <v>3900</v>
          </cell>
          <cell r="E459">
            <v>39</v>
          </cell>
          <cell r="F459">
            <v>3939</v>
          </cell>
        </row>
        <row r="460">
          <cell r="A460">
            <v>2208</v>
          </cell>
          <cell r="B460" t="str">
            <v>Ceramic wash basin - Pedestal (Ideal, American,British)</v>
          </cell>
          <cell r="C460" t="str">
            <v>Nr</v>
          </cell>
          <cell r="D460">
            <v>14000</v>
          </cell>
          <cell r="E460">
            <v>140</v>
          </cell>
          <cell r="F460">
            <v>14140</v>
          </cell>
        </row>
        <row r="461">
          <cell r="A461">
            <v>2209</v>
          </cell>
          <cell r="B461" t="str">
            <v>Heavy quality chromium plated pillar tap</v>
          </cell>
          <cell r="C461" t="str">
            <v>Nr</v>
          </cell>
          <cell r="D461">
            <v>1600</v>
          </cell>
          <cell r="E461">
            <v>16</v>
          </cell>
          <cell r="F461">
            <v>1616</v>
          </cell>
        </row>
        <row r="462">
          <cell r="A462">
            <v>2210</v>
          </cell>
          <cell r="B462" t="str">
            <v>Ceramic squatting pan with trap and ceramic foot rests</v>
          </cell>
          <cell r="C462" t="str">
            <v>Nr</v>
          </cell>
          <cell r="D462">
            <v>549</v>
          </cell>
          <cell r="E462">
            <v>5.49</v>
          </cell>
          <cell r="F462">
            <v>554.5</v>
          </cell>
        </row>
        <row r="463">
          <cell r="A463">
            <v>2211</v>
          </cell>
          <cell r="B463" t="str">
            <v>Square type ceramic squatting pan with foot rests and trap</v>
          </cell>
          <cell r="C463" t="str">
            <v>Nr</v>
          </cell>
          <cell r="D463">
            <v>925</v>
          </cell>
          <cell r="E463">
            <v>9.25</v>
          </cell>
          <cell r="F463">
            <v>934.5</v>
          </cell>
        </row>
        <row r="464">
          <cell r="A464">
            <v>2212</v>
          </cell>
          <cell r="B464" t="str">
            <v>9 liters capacity high level ceramic cistern</v>
          </cell>
          <cell r="C464" t="str">
            <v>Nr</v>
          </cell>
          <cell r="D464">
            <v>2500</v>
          </cell>
          <cell r="E464">
            <v>25</v>
          </cell>
          <cell r="F464">
            <v>2525</v>
          </cell>
        </row>
        <row r="465">
          <cell r="A465">
            <v>2213</v>
          </cell>
          <cell r="B465" t="str">
            <v>9 liters capacity high level PVC cistern</v>
          </cell>
          <cell r="C465" t="str">
            <v>Nr</v>
          </cell>
          <cell r="D465">
            <v>1900</v>
          </cell>
          <cell r="E465">
            <v>19</v>
          </cell>
          <cell r="F465">
            <v>1919</v>
          </cell>
        </row>
        <row r="466">
          <cell r="A466">
            <v>2214</v>
          </cell>
          <cell r="B466" t="str">
            <v>9 liters capacity low level ceramic cistern</v>
          </cell>
          <cell r="C466" t="str">
            <v>Nr</v>
          </cell>
          <cell r="D466">
            <v>2350</v>
          </cell>
          <cell r="E466">
            <v>23.5</v>
          </cell>
          <cell r="F466">
            <v>2373.5</v>
          </cell>
        </row>
        <row r="467">
          <cell r="A467">
            <v>2215</v>
          </cell>
          <cell r="B467" t="str">
            <v>9 liters capacity low level PVC cistern</v>
          </cell>
          <cell r="C467" t="str">
            <v>Nr</v>
          </cell>
          <cell r="D467">
            <v>1900</v>
          </cell>
          <cell r="E467">
            <v>19</v>
          </cell>
          <cell r="F467">
            <v>1919</v>
          </cell>
        </row>
        <row r="468">
          <cell r="A468">
            <v>2216</v>
          </cell>
          <cell r="B468" t="str">
            <v xml:space="preserve">Low level ceramic water closet (LCL) </v>
          </cell>
          <cell r="C468" t="str">
            <v>Nr</v>
          </cell>
          <cell r="D468">
            <v>4500</v>
          </cell>
          <cell r="E468">
            <v>45</v>
          </cell>
          <cell r="F468">
            <v>4545</v>
          </cell>
        </row>
        <row r="469">
          <cell r="A469">
            <v>2217</v>
          </cell>
          <cell r="B469" t="str">
            <v xml:space="preserve">Closed couple ceramic water closet (British) </v>
          </cell>
          <cell r="C469" t="str">
            <v>Nr</v>
          </cell>
          <cell r="D469">
            <v>17500</v>
          </cell>
          <cell r="E469">
            <v>175</v>
          </cell>
          <cell r="F469">
            <v>17675</v>
          </cell>
        </row>
        <row r="470">
          <cell r="A470">
            <v>2218</v>
          </cell>
          <cell r="B470" t="str">
            <v>Bowl type urinal</v>
          </cell>
          <cell r="C470" t="str">
            <v>Nr</v>
          </cell>
          <cell r="D470">
            <v>1380</v>
          </cell>
          <cell r="E470">
            <v>13.8</v>
          </cell>
          <cell r="F470">
            <v>1394</v>
          </cell>
        </row>
        <row r="471">
          <cell r="A471">
            <v>2219</v>
          </cell>
          <cell r="B471" t="str">
            <v>40mm Bottle Trap</v>
          </cell>
          <cell r="C471" t="str">
            <v>Nr</v>
          </cell>
          <cell r="D471">
            <v>213</v>
          </cell>
          <cell r="E471">
            <v>2.13</v>
          </cell>
          <cell r="F471">
            <v>215.13</v>
          </cell>
        </row>
        <row r="472">
          <cell r="A472">
            <v>2220</v>
          </cell>
          <cell r="B472" t="str">
            <v>Bidet shower</v>
          </cell>
          <cell r="C472" t="str">
            <v>Nr</v>
          </cell>
          <cell r="D472">
            <v>1850</v>
          </cell>
          <cell r="E472">
            <v>18.5</v>
          </cell>
          <cell r="F472">
            <v>1868.5</v>
          </cell>
        </row>
        <row r="473">
          <cell r="A473">
            <v>2221</v>
          </cell>
          <cell r="B473" t="str">
            <v>PVC seat cover</v>
          </cell>
          <cell r="C473" t="str">
            <v>Nr</v>
          </cell>
          <cell r="D473">
            <v>500</v>
          </cell>
          <cell r="E473">
            <v>5</v>
          </cell>
          <cell r="F473">
            <v>505</v>
          </cell>
        </row>
        <row r="474">
          <cell r="A474">
            <v>2222</v>
          </cell>
          <cell r="B474" t="str">
            <v>Bathroom mirror</v>
          </cell>
          <cell r="C474" t="str">
            <v>Nr</v>
          </cell>
          <cell r="D474">
            <v>750</v>
          </cell>
          <cell r="E474">
            <v>7.5</v>
          </cell>
          <cell r="F474">
            <v>757.5</v>
          </cell>
        </row>
        <row r="475">
          <cell r="A475">
            <v>2223</v>
          </cell>
          <cell r="B475" t="str">
            <v>Chromium Plated Soap Tray</v>
          </cell>
          <cell r="C475" t="str">
            <v>Nr</v>
          </cell>
          <cell r="D475">
            <v>2850</v>
          </cell>
          <cell r="E475">
            <v>28.5</v>
          </cell>
          <cell r="F475">
            <v>2878.5</v>
          </cell>
        </row>
        <row r="476">
          <cell r="A476">
            <v>2224</v>
          </cell>
          <cell r="B476" t="str">
            <v>Ceramic Soap Tray</v>
          </cell>
          <cell r="C476" t="str">
            <v>Nr</v>
          </cell>
          <cell r="D476">
            <v>300</v>
          </cell>
          <cell r="E476">
            <v>3</v>
          </cell>
          <cell r="F476">
            <v>303</v>
          </cell>
        </row>
        <row r="477">
          <cell r="A477">
            <v>2225</v>
          </cell>
          <cell r="B477" t="str">
            <v>Chromium Plated Tooth brush holder</v>
          </cell>
          <cell r="C477" t="str">
            <v>Nr</v>
          </cell>
          <cell r="D477">
            <v>2350</v>
          </cell>
          <cell r="E477">
            <v>23.5</v>
          </cell>
          <cell r="F477">
            <v>2373.5</v>
          </cell>
        </row>
        <row r="478">
          <cell r="A478">
            <v>2226</v>
          </cell>
          <cell r="B478" t="str">
            <v>Ceramic Tooth brush holder</v>
          </cell>
          <cell r="C478" t="str">
            <v>Nr</v>
          </cell>
          <cell r="D478">
            <v>400</v>
          </cell>
          <cell r="E478">
            <v>4</v>
          </cell>
          <cell r="F478">
            <v>404</v>
          </cell>
        </row>
        <row r="479">
          <cell r="A479">
            <v>2227</v>
          </cell>
          <cell r="B479" t="str">
            <v>Chromium Plated 150mm dia. Shower Rose</v>
          </cell>
          <cell r="C479" t="str">
            <v>Nr</v>
          </cell>
          <cell r="D479">
            <v>12600</v>
          </cell>
          <cell r="E479">
            <v>126</v>
          </cell>
          <cell r="F479">
            <v>12726</v>
          </cell>
        </row>
        <row r="480">
          <cell r="A480">
            <v>2228</v>
          </cell>
          <cell r="B480" t="str">
            <v>PVC 150mm dia. Shower Rose</v>
          </cell>
          <cell r="C480" t="str">
            <v>Nr</v>
          </cell>
          <cell r="D480">
            <v>140</v>
          </cell>
          <cell r="E480">
            <v>1.4</v>
          </cell>
          <cell r="F480">
            <v>141.4</v>
          </cell>
        </row>
        <row r="481">
          <cell r="A481">
            <v>2229</v>
          </cell>
          <cell r="B481" t="str">
            <v>Chromium Plated toilet paper holder</v>
          </cell>
          <cell r="C481" t="str">
            <v>Nr</v>
          </cell>
          <cell r="D481">
            <v>2740</v>
          </cell>
          <cell r="E481">
            <v>27.4</v>
          </cell>
          <cell r="F481">
            <v>2767.4</v>
          </cell>
        </row>
        <row r="482">
          <cell r="A482">
            <v>2230</v>
          </cell>
          <cell r="B482" t="str">
            <v>Ceremic toilet paper holder</v>
          </cell>
          <cell r="C482" t="str">
            <v>Nr</v>
          </cell>
          <cell r="D482">
            <v>400</v>
          </cell>
          <cell r="E482">
            <v>4</v>
          </cell>
          <cell r="F482">
            <v>404</v>
          </cell>
        </row>
        <row r="483">
          <cell r="A483">
            <v>2231</v>
          </cell>
          <cell r="B483" t="str">
            <v>Chromium Plated towel rail</v>
          </cell>
          <cell r="C483" t="str">
            <v>Nr</v>
          </cell>
          <cell r="D483">
            <v>3250</v>
          </cell>
          <cell r="E483">
            <v>32.5</v>
          </cell>
          <cell r="F483">
            <v>3282.5</v>
          </cell>
        </row>
        <row r="484">
          <cell r="A484">
            <v>2232</v>
          </cell>
          <cell r="B484" t="str">
            <v>Ceremic towel rail</v>
          </cell>
          <cell r="C484" t="str">
            <v>Nr</v>
          </cell>
          <cell r="D484">
            <v>600</v>
          </cell>
          <cell r="E484">
            <v>6</v>
          </cell>
          <cell r="F484">
            <v>606</v>
          </cell>
        </row>
        <row r="485">
          <cell r="A485">
            <v>2233</v>
          </cell>
          <cell r="B485" t="str">
            <v>Chromium Plated conceal valve for shower</v>
          </cell>
          <cell r="C485" t="str">
            <v>Nr</v>
          </cell>
          <cell r="D485">
            <v>1300</v>
          </cell>
          <cell r="E485">
            <v>13</v>
          </cell>
          <cell r="F485">
            <v>1313</v>
          </cell>
        </row>
        <row r="486">
          <cell r="A486">
            <v>0</v>
          </cell>
          <cell r="B486" t="str">
            <v>Roof Plumber</v>
          </cell>
          <cell r="C486">
            <v>0</v>
          </cell>
          <cell r="D486">
            <v>0</v>
          </cell>
          <cell r="E486">
            <v>0</v>
          </cell>
          <cell r="F486">
            <v>0</v>
          </cell>
        </row>
        <row r="487">
          <cell r="A487">
            <v>2301</v>
          </cell>
          <cell r="B487" t="str">
            <v>PVC eave gutters</v>
          </cell>
          <cell r="C487" t="str">
            <v>m</v>
          </cell>
          <cell r="D487">
            <v>540</v>
          </cell>
          <cell r="E487">
            <v>5.4</v>
          </cell>
          <cell r="F487">
            <v>545.5</v>
          </cell>
        </row>
        <row r="488">
          <cell r="A488">
            <v>2302</v>
          </cell>
          <cell r="B488" t="str">
            <v>End cap</v>
          </cell>
          <cell r="C488" t="str">
            <v>Nr</v>
          </cell>
          <cell r="D488">
            <v>85</v>
          </cell>
          <cell r="E488">
            <v>0.85</v>
          </cell>
          <cell r="F488">
            <v>72.5</v>
          </cell>
        </row>
        <row r="489">
          <cell r="A489">
            <v>2303</v>
          </cell>
          <cell r="B489" t="str">
            <v>Joint</v>
          </cell>
          <cell r="C489" t="str">
            <v>m</v>
          </cell>
          <cell r="D489">
            <v>85</v>
          </cell>
          <cell r="E489">
            <v>0.85</v>
          </cell>
          <cell r="F489">
            <v>86</v>
          </cell>
        </row>
        <row r="490">
          <cell r="A490">
            <v>2304</v>
          </cell>
          <cell r="B490" t="str">
            <v>Gutter joiner</v>
          </cell>
          <cell r="C490" t="str">
            <v>Nr</v>
          </cell>
          <cell r="D490">
            <v>95</v>
          </cell>
          <cell r="E490">
            <v>0.95</v>
          </cell>
          <cell r="F490">
            <v>96</v>
          </cell>
        </row>
        <row r="491">
          <cell r="A491">
            <v>2305</v>
          </cell>
          <cell r="B491" t="str">
            <v>Gutter brackets</v>
          </cell>
          <cell r="C491" t="str">
            <v>Nr</v>
          </cell>
          <cell r="D491">
            <v>24</v>
          </cell>
          <cell r="E491">
            <v>0.24</v>
          </cell>
          <cell r="F491">
            <v>36.5</v>
          </cell>
        </row>
        <row r="492">
          <cell r="A492">
            <v>2306</v>
          </cell>
          <cell r="B492" t="str">
            <v>Running head</v>
          </cell>
          <cell r="C492" t="str">
            <v>Nr</v>
          </cell>
          <cell r="D492">
            <v>225</v>
          </cell>
          <cell r="E492">
            <v>2.25</v>
          </cell>
          <cell r="F492">
            <v>227.25</v>
          </cell>
        </row>
        <row r="493">
          <cell r="A493">
            <v>2307</v>
          </cell>
          <cell r="B493" t="str">
            <v>87.5 mm dia. PVC down pipes</v>
          </cell>
          <cell r="C493" t="str">
            <v>m</v>
          </cell>
          <cell r="D493">
            <v>196</v>
          </cell>
          <cell r="E493">
            <v>1.96</v>
          </cell>
          <cell r="F493">
            <v>138.5</v>
          </cell>
        </row>
        <row r="494">
          <cell r="A494">
            <v>2308</v>
          </cell>
          <cell r="B494" t="str">
            <v>87.5 mm dia. PVC socket</v>
          </cell>
          <cell r="C494" t="str">
            <v>Nr</v>
          </cell>
          <cell r="D494">
            <v>65</v>
          </cell>
          <cell r="E494">
            <v>0.65</v>
          </cell>
          <cell r="F494">
            <v>62.5</v>
          </cell>
        </row>
        <row r="495">
          <cell r="A495">
            <v>2309</v>
          </cell>
          <cell r="B495" t="str">
            <v>87.5 mm dia. PVC elbows</v>
          </cell>
          <cell r="C495" t="str">
            <v>Nr</v>
          </cell>
          <cell r="D495">
            <v>150</v>
          </cell>
          <cell r="E495">
            <v>1.5</v>
          </cell>
          <cell r="F495">
            <v>91</v>
          </cell>
        </row>
        <row r="496">
          <cell r="A496">
            <v>2310</v>
          </cell>
          <cell r="B496" t="str">
            <v>Clips</v>
          </cell>
          <cell r="C496" t="str">
            <v>Nr</v>
          </cell>
          <cell r="D496">
            <v>20</v>
          </cell>
          <cell r="E496">
            <v>0.2</v>
          </cell>
          <cell r="F496">
            <v>18</v>
          </cell>
        </row>
        <row r="497">
          <cell r="A497">
            <v>2311</v>
          </cell>
          <cell r="B497" t="str">
            <v>200mmx200x87.5mm PVC gutter box</v>
          </cell>
          <cell r="C497" t="str">
            <v>Nr</v>
          </cell>
          <cell r="D497">
            <v>490</v>
          </cell>
          <cell r="E497">
            <v>4.9000000000000004</v>
          </cell>
          <cell r="F497">
            <v>494.9</v>
          </cell>
        </row>
        <row r="498">
          <cell r="A498">
            <v>2312</v>
          </cell>
          <cell r="B498" t="str">
            <v>Zink Aluminium rainwater eave gutters</v>
          </cell>
          <cell r="C498" t="str">
            <v>m</v>
          </cell>
          <cell r="D498">
            <v>525</v>
          </cell>
          <cell r="E498">
            <v>5.25</v>
          </cell>
          <cell r="F498">
            <v>530.5</v>
          </cell>
        </row>
        <row r="499">
          <cell r="A499">
            <v>2313</v>
          </cell>
          <cell r="B499" t="str">
            <v>Stop end and plate</v>
          </cell>
          <cell r="C499" t="str">
            <v>Nr</v>
          </cell>
          <cell r="D499">
            <v>140</v>
          </cell>
          <cell r="E499">
            <v>1.4</v>
          </cell>
          <cell r="F499">
            <v>141.5</v>
          </cell>
        </row>
        <row r="500">
          <cell r="A500">
            <v>2314</v>
          </cell>
          <cell r="B500" t="str">
            <v>Steel brackets</v>
          </cell>
          <cell r="C500" t="str">
            <v>Nr</v>
          </cell>
          <cell r="D500">
            <v>50</v>
          </cell>
          <cell r="E500">
            <v>0.5</v>
          </cell>
          <cell r="F500">
            <v>50.5</v>
          </cell>
        </row>
        <row r="501">
          <cell r="A501">
            <v>2315</v>
          </cell>
          <cell r="B501" t="str">
            <v>100x100mm Zn-alum down pipes</v>
          </cell>
          <cell r="C501" t="str">
            <v>m</v>
          </cell>
          <cell r="D501">
            <v>524</v>
          </cell>
          <cell r="E501">
            <v>5.24</v>
          </cell>
          <cell r="F501">
            <v>529</v>
          </cell>
        </row>
        <row r="502">
          <cell r="A502">
            <v>2316</v>
          </cell>
          <cell r="B502" t="str">
            <v>150x150mm Zn-alum down pipes</v>
          </cell>
          <cell r="C502" t="str">
            <v>m</v>
          </cell>
          <cell r="D502">
            <v>838</v>
          </cell>
          <cell r="E502">
            <v>8.3800000000000008</v>
          </cell>
          <cell r="F502">
            <v>846.5</v>
          </cell>
        </row>
        <row r="503">
          <cell r="A503">
            <v>2317</v>
          </cell>
          <cell r="B503" t="str">
            <v>Nozzles</v>
          </cell>
          <cell r="C503" t="str">
            <v>Nr</v>
          </cell>
          <cell r="D503">
            <v>754</v>
          </cell>
          <cell r="E503">
            <v>7.54</v>
          </cell>
          <cell r="F503">
            <v>761.5</v>
          </cell>
        </row>
        <row r="504">
          <cell r="A504">
            <v>2318</v>
          </cell>
          <cell r="B504" t="str">
            <v>Offsets</v>
          </cell>
          <cell r="C504" t="str">
            <v>Nr</v>
          </cell>
          <cell r="D504">
            <v>1635</v>
          </cell>
          <cell r="E504">
            <v>16.350000000000001</v>
          </cell>
          <cell r="F504">
            <v>1651.5</v>
          </cell>
        </row>
        <row r="505">
          <cell r="A505">
            <v>2319</v>
          </cell>
          <cell r="B505" t="str">
            <v>Shoes</v>
          </cell>
          <cell r="C505" t="str">
            <v>Nr</v>
          </cell>
          <cell r="D505">
            <v>624</v>
          </cell>
          <cell r="E505">
            <v>6.24</v>
          </cell>
          <cell r="F505">
            <v>630</v>
          </cell>
        </row>
        <row r="506">
          <cell r="A506">
            <v>2320</v>
          </cell>
          <cell r="B506" t="str">
            <v>Clips</v>
          </cell>
          <cell r="C506" t="str">
            <v>Nr</v>
          </cell>
          <cell r="D506">
            <v>9</v>
          </cell>
          <cell r="E506">
            <v>0.09</v>
          </cell>
          <cell r="F506">
            <v>9</v>
          </cell>
        </row>
        <row r="507">
          <cell r="A507">
            <v>2321</v>
          </cell>
          <cell r="B507" t="str">
            <v>300x300mm gutter boxes in Zink Alum color coated metal sheets</v>
          </cell>
          <cell r="C507" t="str">
            <v>Nr</v>
          </cell>
          <cell r="D507">
            <v>1142</v>
          </cell>
          <cell r="E507">
            <v>11.42</v>
          </cell>
          <cell r="F507">
            <v>1153.5</v>
          </cell>
        </row>
        <row r="508">
          <cell r="A508">
            <v>2322</v>
          </cell>
          <cell r="B508" t="str">
            <v>25x25mm N/A Alluminium</v>
          </cell>
          <cell r="C508" t="str">
            <v>m</v>
          </cell>
          <cell r="D508">
            <v>0</v>
          </cell>
          <cell r="E508">
            <v>0</v>
          </cell>
          <cell r="F508">
            <v>0</v>
          </cell>
        </row>
        <row r="509">
          <cell r="A509">
            <v>0</v>
          </cell>
          <cell r="B509" t="str">
            <v>Tinker</v>
          </cell>
          <cell r="C509">
            <v>0</v>
          </cell>
          <cell r="D509">
            <v>0</v>
          </cell>
          <cell r="E509">
            <v>0</v>
          </cell>
          <cell r="F509">
            <v>0</v>
          </cell>
        </row>
        <row r="510">
          <cell r="A510">
            <v>2401</v>
          </cell>
          <cell r="B510" t="str">
            <v>18 B.W.G. sheets</v>
          </cell>
          <cell r="C510" t="str">
            <v>m2</v>
          </cell>
          <cell r="D510">
            <v>1177</v>
          </cell>
          <cell r="E510">
            <v>11.77</v>
          </cell>
          <cell r="F510">
            <v>1189</v>
          </cell>
        </row>
        <row r="511">
          <cell r="A511">
            <v>0</v>
          </cell>
          <cell r="B511" t="str">
            <v>Drain Layer</v>
          </cell>
          <cell r="C511">
            <v>0</v>
          </cell>
          <cell r="D511">
            <v>0</v>
          </cell>
          <cell r="E511">
            <v>0</v>
          </cell>
          <cell r="F511">
            <v>0</v>
          </cell>
        </row>
        <row r="512">
          <cell r="A512">
            <v>2501</v>
          </cell>
          <cell r="B512" t="str">
            <v>Copper wire dome</v>
          </cell>
          <cell r="C512" t="str">
            <v>Nr</v>
          </cell>
          <cell r="D512">
            <v>250</v>
          </cell>
          <cell r="E512">
            <v>2.5</v>
          </cell>
          <cell r="F512">
            <v>252.5</v>
          </cell>
        </row>
        <row r="513">
          <cell r="A513">
            <v>2502</v>
          </cell>
          <cell r="B513" t="str">
            <v>Drainage gully and grate  PVC</v>
          </cell>
          <cell r="C513" t="str">
            <v>Nr</v>
          </cell>
          <cell r="D513">
            <v>130</v>
          </cell>
          <cell r="E513">
            <v>1.3</v>
          </cell>
          <cell r="F513">
            <v>131.5</v>
          </cell>
        </row>
        <row r="514">
          <cell r="A514">
            <v>2503</v>
          </cell>
          <cell r="B514" t="str">
            <v>40mm 4-way PVC floor trap</v>
          </cell>
          <cell r="C514" t="str">
            <v>Nr</v>
          </cell>
          <cell r="D514">
            <v>300</v>
          </cell>
          <cell r="E514">
            <v>3</v>
          </cell>
          <cell r="F514">
            <v>303</v>
          </cell>
        </row>
        <row r="515">
          <cell r="A515">
            <v>0</v>
          </cell>
          <cell r="B515" t="str">
            <v>Painter</v>
          </cell>
          <cell r="C515">
            <v>0</v>
          </cell>
          <cell r="D515">
            <v>0</v>
          </cell>
          <cell r="E515">
            <v>0</v>
          </cell>
          <cell r="F515">
            <v>0</v>
          </cell>
        </row>
        <row r="516">
          <cell r="A516">
            <v>2601</v>
          </cell>
          <cell r="B516" t="str">
            <v>Lime</v>
          </cell>
          <cell r="C516" t="str">
            <v>kg</v>
          </cell>
          <cell r="D516">
            <v>20</v>
          </cell>
          <cell r="E516">
            <v>0.2</v>
          </cell>
          <cell r="F516">
            <v>20.5</v>
          </cell>
        </row>
        <row r="517">
          <cell r="A517">
            <v>2602</v>
          </cell>
          <cell r="B517" t="str">
            <v>Glue</v>
          </cell>
          <cell r="C517" t="str">
            <v>kg</v>
          </cell>
          <cell r="D517">
            <v>80</v>
          </cell>
          <cell r="E517">
            <v>0.8</v>
          </cell>
          <cell r="F517">
            <v>81</v>
          </cell>
        </row>
        <row r="518">
          <cell r="A518">
            <v>2603</v>
          </cell>
          <cell r="B518" t="str">
            <v>Yellow ochre</v>
          </cell>
          <cell r="C518" t="str">
            <v>kg</v>
          </cell>
          <cell r="D518">
            <v>60</v>
          </cell>
          <cell r="E518">
            <v>0.6</v>
          </cell>
          <cell r="F518">
            <v>60.5</v>
          </cell>
        </row>
        <row r="519">
          <cell r="A519">
            <v>2604</v>
          </cell>
          <cell r="B519" t="str">
            <v>Snowcem</v>
          </cell>
          <cell r="C519" t="str">
            <v>kg</v>
          </cell>
          <cell r="D519">
            <v>80</v>
          </cell>
          <cell r="E519">
            <v>0.8</v>
          </cell>
          <cell r="F519">
            <v>81</v>
          </cell>
        </row>
        <row r="520">
          <cell r="A520">
            <v>2605</v>
          </cell>
          <cell r="B520" t="str">
            <v>Wall primer</v>
          </cell>
          <cell r="C520" t="str">
            <v>l</v>
          </cell>
          <cell r="D520">
            <v>320</v>
          </cell>
          <cell r="E520">
            <v>3.2</v>
          </cell>
          <cell r="F520">
            <v>323</v>
          </cell>
        </row>
        <row r="521">
          <cell r="A521">
            <v>2606</v>
          </cell>
          <cell r="B521" t="str">
            <v>Emulsion paint</v>
          </cell>
          <cell r="C521" t="str">
            <v>l</v>
          </cell>
          <cell r="D521">
            <v>645</v>
          </cell>
          <cell r="E521">
            <v>6.45</v>
          </cell>
          <cell r="F521">
            <v>651.5</v>
          </cell>
        </row>
        <row r="522">
          <cell r="A522">
            <v>2607</v>
          </cell>
          <cell r="B522" t="str">
            <v>Weather shield paint</v>
          </cell>
          <cell r="C522" t="str">
            <v>l</v>
          </cell>
          <cell r="D522">
            <v>838</v>
          </cell>
          <cell r="E522">
            <v>8.3800000000000008</v>
          </cell>
          <cell r="F522">
            <v>846.5</v>
          </cell>
        </row>
        <row r="523">
          <cell r="A523">
            <v>2608</v>
          </cell>
          <cell r="B523" t="str">
            <v>Enamel paint</v>
          </cell>
          <cell r="C523" t="str">
            <v>l</v>
          </cell>
          <cell r="D523">
            <v>740</v>
          </cell>
          <cell r="E523">
            <v>7.4</v>
          </cell>
          <cell r="F523">
            <v>747.5</v>
          </cell>
        </row>
        <row r="524">
          <cell r="A524">
            <v>2609</v>
          </cell>
          <cell r="B524" t="str">
            <v>Anticorrosive paint</v>
          </cell>
          <cell r="C524" t="str">
            <v>l</v>
          </cell>
          <cell r="D524">
            <v>510</v>
          </cell>
          <cell r="E524">
            <v>5.0999999999999996</v>
          </cell>
          <cell r="F524">
            <v>515</v>
          </cell>
        </row>
        <row r="525">
          <cell r="A525">
            <v>2610</v>
          </cell>
          <cell r="B525" t="str">
            <v>Floor paint</v>
          </cell>
          <cell r="C525" t="str">
            <v>l</v>
          </cell>
          <cell r="D525">
            <v>780</v>
          </cell>
          <cell r="E525">
            <v>7.8</v>
          </cell>
          <cell r="F525">
            <v>788</v>
          </cell>
        </row>
        <row r="526">
          <cell r="A526">
            <v>2611</v>
          </cell>
          <cell r="B526" t="str">
            <v>Floor polish</v>
          </cell>
          <cell r="C526" t="str">
            <v>kg</v>
          </cell>
          <cell r="D526">
            <v>650</v>
          </cell>
          <cell r="E526">
            <v>6.5</v>
          </cell>
          <cell r="F526">
            <v>656.5</v>
          </cell>
        </row>
        <row r="527">
          <cell r="A527">
            <v>2612</v>
          </cell>
          <cell r="B527" t="str">
            <v>Wood primer</v>
          </cell>
          <cell r="C527" t="str">
            <v>l</v>
          </cell>
          <cell r="D527">
            <v>720</v>
          </cell>
          <cell r="E527">
            <v>7.2</v>
          </cell>
          <cell r="F527">
            <v>727</v>
          </cell>
        </row>
        <row r="528">
          <cell r="A528">
            <v>2613</v>
          </cell>
          <cell r="B528" t="str">
            <v>Polyurethane varnish</v>
          </cell>
          <cell r="C528" t="str">
            <v>l</v>
          </cell>
          <cell r="D528">
            <v>750</v>
          </cell>
          <cell r="E528">
            <v>7.5</v>
          </cell>
          <cell r="F528">
            <v>757.5</v>
          </cell>
        </row>
        <row r="529">
          <cell r="A529">
            <v>0</v>
          </cell>
          <cell r="B529" t="str">
            <v>Electrical Installation</v>
          </cell>
          <cell r="C529">
            <v>0</v>
          </cell>
          <cell r="D529">
            <v>0</v>
          </cell>
          <cell r="E529">
            <v>0</v>
          </cell>
          <cell r="F529">
            <v>0</v>
          </cell>
        </row>
        <row r="530">
          <cell r="A530">
            <v>2701</v>
          </cell>
          <cell r="B530" t="str">
            <v>1/1.13 mm Cu\PVC\PVC ( 1 sq.mm)</v>
          </cell>
          <cell r="C530" t="str">
            <v>m</v>
          </cell>
          <cell r="D530">
            <v>18.5</v>
          </cell>
          <cell r="E530">
            <v>0.19</v>
          </cell>
          <cell r="F530">
            <v>18.5</v>
          </cell>
        </row>
        <row r="531">
          <cell r="A531">
            <v>2702</v>
          </cell>
          <cell r="B531" t="str">
            <v>7/0.67 mm Cu\PVC ( 2.5 sq.mm)</v>
          </cell>
          <cell r="C531" t="str">
            <v>m</v>
          </cell>
          <cell r="D531">
            <v>61.5</v>
          </cell>
          <cell r="E531">
            <v>0.62</v>
          </cell>
          <cell r="F531">
            <v>62</v>
          </cell>
        </row>
        <row r="532">
          <cell r="A532">
            <v>2703</v>
          </cell>
          <cell r="B532" t="str">
            <v>7/0.53mm Cu\PVC\PVC(T)-1.5sq.mm</v>
          </cell>
          <cell r="C532" t="str">
            <v>m</v>
          </cell>
          <cell r="D532">
            <v>79.2</v>
          </cell>
          <cell r="E532">
            <v>0.79</v>
          </cell>
          <cell r="F532">
            <v>80</v>
          </cell>
        </row>
        <row r="533">
          <cell r="A533">
            <v>2704</v>
          </cell>
          <cell r="B533" t="str">
            <v>7/0.67mm Cu\PVC\PVC(T)-2.5sq.mm</v>
          </cell>
          <cell r="C533" t="str">
            <v>m</v>
          </cell>
          <cell r="D533">
            <v>115.4</v>
          </cell>
          <cell r="E533">
            <v>1.1499999999999999</v>
          </cell>
          <cell r="F533">
            <v>116.5</v>
          </cell>
        </row>
        <row r="534">
          <cell r="A534">
            <v>2705</v>
          </cell>
          <cell r="B534" t="str">
            <v>7/1.04mm Cu\PVC\PVC(T)-6sq.mm</v>
          </cell>
          <cell r="C534" t="str">
            <v>m</v>
          </cell>
          <cell r="D534">
            <v>249.3</v>
          </cell>
          <cell r="E534">
            <v>2.4900000000000002</v>
          </cell>
          <cell r="F534">
            <v>252</v>
          </cell>
        </row>
        <row r="535">
          <cell r="A535">
            <v>2706</v>
          </cell>
          <cell r="B535" t="str">
            <v>Holder</v>
          </cell>
          <cell r="C535" t="str">
            <v>Nr</v>
          </cell>
          <cell r="D535">
            <v>55</v>
          </cell>
          <cell r="E535">
            <v>0.55000000000000004</v>
          </cell>
          <cell r="F535">
            <v>55.5</v>
          </cell>
        </row>
        <row r="536">
          <cell r="A536">
            <v>2707</v>
          </cell>
          <cell r="B536" t="str">
            <v>Sun box</v>
          </cell>
          <cell r="C536" t="str">
            <v>Nr</v>
          </cell>
          <cell r="D536">
            <v>35</v>
          </cell>
          <cell r="E536">
            <v>0.35</v>
          </cell>
          <cell r="F536">
            <v>35.5</v>
          </cell>
        </row>
        <row r="537">
          <cell r="A537">
            <v>2708</v>
          </cell>
          <cell r="B537" t="str">
            <v>Switch</v>
          </cell>
          <cell r="C537" t="str">
            <v>Nr</v>
          </cell>
          <cell r="D537">
            <v>35</v>
          </cell>
          <cell r="E537">
            <v>0.35</v>
          </cell>
          <cell r="F537">
            <v>35.5</v>
          </cell>
        </row>
        <row r="538">
          <cell r="A538">
            <v>2709</v>
          </cell>
          <cell r="B538" t="str">
            <v>PVC conduit 1"</v>
          </cell>
          <cell r="C538" t="str">
            <v>m</v>
          </cell>
          <cell r="D538">
            <v>34.25</v>
          </cell>
          <cell r="E538">
            <v>0.34</v>
          </cell>
          <cell r="F538">
            <v>34</v>
          </cell>
        </row>
        <row r="539">
          <cell r="A539">
            <v>2710</v>
          </cell>
          <cell r="B539" t="str">
            <v>5A socket outlet</v>
          </cell>
          <cell r="C539" t="str">
            <v>Nr</v>
          </cell>
          <cell r="D539">
            <v>340</v>
          </cell>
          <cell r="E539">
            <v>3.4</v>
          </cell>
          <cell r="F539">
            <v>315</v>
          </cell>
        </row>
        <row r="540">
          <cell r="A540">
            <v>2711</v>
          </cell>
          <cell r="B540" t="str">
            <v>13A socket outlet</v>
          </cell>
          <cell r="C540" t="str">
            <v>Nr</v>
          </cell>
          <cell r="D540">
            <v>360</v>
          </cell>
          <cell r="E540">
            <v>3.6</v>
          </cell>
          <cell r="F540">
            <v>333.5</v>
          </cell>
        </row>
        <row r="541">
          <cell r="A541">
            <v>2712</v>
          </cell>
          <cell r="B541" t="str">
            <v>15A socket outlet</v>
          </cell>
          <cell r="C541" t="str">
            <v>Nr</v>
          </cell>
          <cell r="D541">
            <v>420</v>
          </cell>
          <cell r="E541">
            <v>4.2</v>
          </cell>
          <cell r="F541">
            <v>387</v>
          </cell>
        </row>
        <row r="542">
          <cell r="A542">
            <v>2713</v>
          </cell>
          <cell r="B542" t="str">
            <v>Ceiling rose</v>
          </cell>
          <cell r="C542" t="str">
            <v>Nr</v>
          </cell>
          <cell r="D542">
            <v>85</v>
          </cell>
          <cell r="E542">
            <v>0.85</v>
          </cell>
          <cell r="F542">
            <v>86</v>
          </cell>
        </row>
        <row r="543">
          <cell r="A543">
            <v>2714</v>
          </cell>
          <cell r="B543" t="str">
            <v>Round block</v>
          </cell>
          <cell r="C543" t="str">
            <v>Nr</v>
          </cell>
          <cell r="D543">
            <v>15</v>
          </cell>
          <cell r="E543">
            <v>0.15</v>
          </cell>
          <cell r="F543">
            <v>15</v>
          </cell>
        </row>
        <row r="544">
          <cell r="A544">
            <v>2715</v>
          </cell>
          <cell r="B544" t="str">
            <v>Fan hook</v>
          </cell>
          <cell r="C544" t="str">
            <v>Nr</v>
          </cell>
          <cell r="D544">
            <v>175</v>
          </cell>
          <cell r="E544">
            <v>1.75</v>
          </cell>
          <cell r="F544">
            <v>177</v>
          </cell>
        </row>
        <row r="545">
          <cell r="A545">
            <v>2716</v>
          </cell>
          <cell r="B545" t="str">
            <v>Pendent lamp</v>
          </cell>
          <cell r="C545" t="str">
            <v>Nr</v>
          </cell>
          <cell r="D545">
            <v>60</v>
          </cell>
          <cell r="E545">
            <v>0.6</v>
          </cell>
          <cell r="F545">
            <v>60.5</v>
          </cell>
        </row>
        <row r="546">
          <cell r="A546">
            <v>2717</v>
          </cell>
          <cell r="B546" t="str">
            <v>Weather proofed angle batten lamp</v>
          </cell>
          <cell r="C546" t="str">
            <v>Nr</v>
          </cell>
          <cell r="D546">
            <v>1350</v>
          </cell>
          <cell r="E546">
            <v>13.5</v>
          </cell>
          <cell r="F546">
            <v>1363.5</v>
          </cell>
        </row>
        <row r="547">
          <cell r="A547">
            <v>2718</v>
          </cell>
          <cell r="B547" t="str">
            <v>Wall bracket lamp</v>
          </cell>
          <cell r="C547" t="str">
            <v>Nr</v>
          </cell>
          <cell r="D547">
            <v>850</v>
          </cell>
          <cell r="E547">
            <v>8.5</v>
          </cell>
          <cell r="F547">
            <v>858.5</v>
          </cell>
        </row>
        <row r="548">
          <cell r="A548">
            <v>2719</v>
          </cell>
          <cell r="B548" t="str">
            <v>1200 mm, 40W single fluorescent lamp</v>
          </cell>
          <cell r="C548" t="str">
            <v>Nr</v>
          </cell>
          <cell r="D548">
            <v>975</v>
          </cell>
          <cell r="E548">
            <v>9.75</v>
          </cell>
          <cell r="F548">
            <v>985</v>
          </cell>
        </row>
        <row r="549">
          <cell r="A549">
            <v>2720</v>
          </cell>
          <cell r="B549" t="str">
            <v>1200 mm, 40W double fluorescent lamp</v>
          </cell>
          <cell r="C549" t="str">
            <v>Nr</v>
          </cell>
          <cell r="D549">
            <v>1900</v>
          </cell>
          <cell r="E549">
            <v>19</v>
          </cell>
          <cell r="F549">
            <v>1919</v>
          </cell>
        </row>
        <row r="550">
          <cell r="A550">
            <v>2721</v>
          </cell>
          <cell r="B550" t="str">
            <v>600x300 mm fully parabolic reflective type fluorescent lamp (2 tube)</v>
          </cell>
          <cell r="C550" t="str">
            <v>Nr</v>
          </cell>
          <cell r="D550">
            <v>3450</v>
          </cell>
          <cell r="E550">
            <v>34.5</v>
          </cell>
          <cell r="F550">
            <v>3484.5</v>
          </cell>
        </row>
        <row r="551">
          <cell r="A551">
            <v>2722</v>
          </cell>
          <cell r="B551" t="str">
            <v>1200x300 mm fully parabolic reflective type fluorescent lamp (2 tube)</v>
          </cell>
          <cell r="C551" t="str">
            <v>Nr</v>
          </cell>
          <cell r="D551">
            <v>3850</v>
          </cell>
          <cell r="E551">
            <v>38.5</v>
          </cell>
          <cell r="F551">
            <v>3888.5</v>
          </cell>
        </row>
        <row r="552">
          <cell r="A552">
            <v>2723</v>
          </cell>
          <cell r="B552" t="str">
            <v>600x600 mm fully parabolic reflective type fluorescent lamp (3 tube)</v>
          </cell>
          <cell r="C552" t="str">
            <v>Nr</v>
          </cell>
          <cell r="D552">
            <v>3950</v>
          </cell>
          <cell r="E552">
            <v>39.5</v>
          </cell>
          <cell r="F552">
            <v>3989.5</v>
          </cell>
        </row>
        <row r="553">
          <cell r="A553">
            <v>2724</v>
          </cell>
          <cell r="B553" t="str">
            <v>1200x600 mm fully parabolic reflective type fluorescent lamp (3 tube)</v>
          </cell>
          <cell r="C553" t="str">
            <v>Nr</v>
          </cell>
          <cell r="D553">
            <v>4750</v>
          </cell>
          <cell r="E553">
            <v>47.5</v>
          </cell>
          <cell r="F553">
            <v>4797.5</v>
          </cell>
        </row>
        <row r="554">
          <cell r="A554">
            <v>2725</v>
          </cell>
          <cell r="B554" t="str">
            <v>1200mm sweep ceiling fan</v>
          </cell>
          <cell r="C554" t="str">
            <v>Nr</v>
          </cell>
          <cell r="D554">
            <v>5950</v>
          </cell>
          <cell r="E554">
            <v>59.5</v>
          </cell>
          <cell r="F554">
            <v>6009.5</v>
          </cell>
        </row>
        <row r="555">
          <cell r="A555">
            <v>2726</v>
          </cell>
          <cell r="B555" t="str">
            <v>300x300mm exhaust fan</v>
          </cell>
          <cell r="C555" t="str">
            <v>Nr</v>
          </cell>
          <cell r="D555">
            <v>4250</v>
          </cell>
          <cell r="E555">
            <v>42.5</v>
          </cell>
          <cell r="F555">
            <v>4292.5</v>
          </cell>
        </row>
        <row r="556">
          <cell r="A556">
            <v>2727</v>
          </cell>
          <cell r="B556" t="str">
            <v>Wall mounted fan</v>
          </cell>
          <cell r="C556" t="str">
            <v>Nr</v>
          </cell>
          <cell r="D556">
            <v>6250</v>
          </cell>
          <cell r="E556">
            <v>62.5</v>
          </cell>
          <cell r="F556">
            <v>6312.5</v>
          </cell>
        </row>
        <row r="557">
          <cell r="A557">
            <v>2728</v>
          </cell>
          <cell r="B557" t="str">
            <v>40 Amp single phase main switch</v>
          </cell>
          <cell r="C557" t="str">
            <v>Nr</v>
          </cell>
          <cell r="D557">
            <v>736</v>
          </cell>
          <cell r="E557">
            <v>7.36</v>
          </cell>
          <cell r="F557">
            <v>743.5</v>
          </cell>
        </row>
        <row r="558">
          <cell r="A558">
            <v>2729</v>
          </cell>
          <cell r="B558" t="str">
            <v>60 Amp single phase main switch</v>
          </cell>
          <cell r="C558" t="str">
            <v>Nr</v>
          </cell>
          <cell r="D558">
            <v>871</v>
          </cell>
          <cell r="E558">
            <v>8.7100000000000009</v>
          </cell>
          <cell r="F558">
            <v>879.5</v>
          </cell>
        </row>
        <row r="559">
          <cell r="A559">
            <v>2730</v>
          </cell>
          <cell r="B559" t="str">
            <v>40 Amp Circuit breaker</v>
          </cell>
          <cell r="C559" t="str">
            <v>Nr</v>
          </cell>
          <cell r="D559">
            <v>395</v>
          </cell>
          <cell r="E559">
            <v>3.95</v>
          </cell>
          <cell r="F559">
            <v>399</v>
          </cell>
        </row>
        <row r="560">
          <cell r="A560">
            <v>2731</v>
          </cell>
          <cell r="B560" t="str">
            <v>Distribution board with cover</v>
          </cell>
          <cell r="C560" t="str">
            <v>Nr</v>
          </cell>
          <cell r="D560">
            <v>1450</v>
          </cell>
          <cell r="E560">
            <v>14.5</v>
          </cell>
          <cell r="F560">
            <v>1464.5</v>
          </cell>
        </row>
        <row r="561">
          <cell r="A561">
            <v>2732</v>
          </cell>
          <cell r="B561" t="str">
            <v>40 Amp three phase main switch</v>
          </cell>
          <cell r="C561" t="str">
            <v>Nr</v>
          </cell>
          <cell r="D561">
            <v>1224</v>
          </cell>
          <cell r="E561">
            <v>12.24</v>
          </cell>
          <cell r="F561">
            <v>1236</v>
          </cell>
        </row>
        <row r="562">
          <cell r="A562">
            <v>2733</v>
          </cell>
          <cell r="B562" t="str">
            <v>60 Amp three phase main switch</v>
          </cell>
          <cell r="C562" t="str">
            <v>Nr</v>
          </cell>
          <cell r="D562">
            <v>1324</v>
          </cell>
          <cell r="E562">
            <v>13.24</v>
          </cell>
          <cell r="F562">
            <v>1337</v>
          </cell>
        </row>
        <row r="563">
          <cell r="A563">
            <v>2734</v>
          </cell>
          <cell r="B563" t="str">
            <v>40 Amp single phase RCCB (Trip switch)</v>
          </cell>
          <cell r="C563" t="str">
            <v>Nr</v>
          </cell>
          <cell r="D563">
            <v>2677</v>
          </cell>
          <cell r="E563">
            <v>26.77</v>
          </cell>
          <cell r="F563">
            <v>2704</v>
          </cell>
        </row>
        <row r="564">
          <cell r="A564">
            <v>2735</v>
          </cell>
          <cell r="B564" t="str">
            <v>60 Amp single phase RCCB (Trip switch)</v>
          </cell>
          <cell r="C564" t="str">
            <v>Nr</v>
          </cell>
          <cell r="D564">
            <v>2712</v>
          </cell>
          <cell r="E564">
            <v>27.12</v>
          </cell>
          <cell r="F564">
            <v>2739</v>
          </cell>
        </row>
        <row r="565">
          <cell r="A565">
            <v>2736</v>
          </cell>
          <cell r="B565" t="str">
            <v>40 Amp three phase RCCB (Trip switch)</v>
          </cell>
          <cell r="C565" t="str">
            <v>Nr</v>
          </cell>
          <cell r="D565">
            <v>3706</v>
          </cell>
          <cell r="E565">
            <v>37.06</v>
          </cell>
          <cell r="F565">
            <v>3743</v>
          </cell>
        </row>
        <row r="566">
          <cell r="A566">
            <v>2737</v>
          </cell>
          <cell r="B566" t="str">
            <v>60 Amp three phase RCCB (Trip switch)</v>
          </cell>
          <cell r="C566" t="str">
            <v>Nr</v>
          </cell>
          <cell r="D566">
            <v>3912</v>
          </cell>
          <cell r="E566">
            <v>39.119999999999997</v>
          </cell>
          <cell r="F566">
            <v>3951</v>
          </cell>
        </row>
        <row r="567">
          <cell r="A567">
            <v>2738</v>
          </cell>
          <cell r="B567" t="str">
            <v>Electrical Bell</v>
          </cell>
          <cell r="C567" t="str">
            <v>Nr</v>
          </cell>
          <cell r="D567">
            <v>500</v>
          </cell>
          <cell r="E567">
            <v>5</v>
          </cell>
          <cell r="F567">
            <v>505</v>
          </cell>
        </row>
        <row r="568">
          <cell r="A568">
            <v>2739</v>
          </cell>
          <cell r="B568" t="str">
            <v>GI earth electrode</v>
          </cell>
          <cell r="C568" t="str">
            <v>Nr</v>
          </cell>
          <cell r="D568">
            <v>990</v>
          </cell>
          <cell r="E568">
            <v>9.9</v>
          </cell>
          <cell r="F568">
            <v>1000</v>
          </cell>
        </row>
        <row r="569">
          <cell r="A569">
            <v>2740</v>
          </cell>
          <cell r="B569" t="str">
            <v>50x50x5.8 mm angle Iron</v>
          </cell>
          <cell r="C569" t="str">
            <v>m</v>
          </cell>
          <cell r="D569">
            <v>467</v>
          </cell>
          <cell r="E569">
            <v>4.67</v>
          </cell>
          <cell r="F569">
            <v>471.5</v>
          </cell>
        </row>
        <row r="570">
          <cell r="A570">
            <v>2741</v>
          </cell>
          <cell r="B570" t="str">
            <v>60 Amp Circuit breaker</v>
          </cell>
          <cell r="C570" t="str">
            <v>Nr</v>
          </cell>
          <cell r="D570">
            <v>395</v>
          </cell>
          <cell r="E570">
            <v>3.95</v>
          </cell>
          <cell r="F570">
            <v>399</v>
          </cell>
        </row>
        <row r="571">
          <cell r="A571">
            <v>0</v>
          </cell>
          <cell r="B571" t="str">
            <v>Miscellaneous Work</v>
          </cell>
          <cell r="C571">
            <v>0</v>
          </cell>
          <cell r="D571">
            <v>0</v>
          </cell>
          <cell r="E571">
            <v>0</v>
          </cell>
          <cell r="F571">
            <v>0</v>
          </cell>
        </row>
        <row r="572">
          <cell r="A572">
            <v>2801</v>
          </cell>
          <cell r="B572" t="str">
            <v>PVC coated gauge 10 chain link mesh</v>
          </cell>
          <cell r="C572" t="str">
            <v>m2</v>
          </cell>
          <cell r="D572">
            <v>595</v>
          </cell>
          <cell r="E572">
            <v>5.95</v>
          </cell>
          <cell r="F572">
            <v>543.5</v>
          </cell>
        </row>
        <row r="573">
          <cell r="A573">
            <v>2802</v>
          </cell>
          <cell r="B573" t="str">
            <v>2" GI pipes (2mm)</v>
          </cell>
          <cell r="C573" t="str">
            <v>m</v>
          </cell>
          <cell r="D573">
            <v>1165</v>
          </cell>
          <cell r="E573">
            <v>11.65</v>
          </cell>
          <cell r="F573">
            <v>547.5</v>
          </cell>
        </row>
        <row r="574">
          <cell r="A574">
            <v>2803</v>
          </cell>
          <cell r="B574" t="str">
            <v>1 1/2" GI pipes (2mm)</v>
          </cell>
          <cell r="C574" t="str">
            <v>m</v>
          </cell>
          <cell r="D574">
            <v>459</v>
          </cell>
          <cell r="E574">
            <v>4.59</v>
          </cell>
          <cell r="F574">
            <v>463.5</v>
          </cell>
        </row>
        <row r="575">
          <cell r="A575">
            <v>2804</v>
          </cell>
          <cell r="B575" t="str">
            <v>1"  GI pipes (2mm)</v>
          </cell>
          <cell r="C575" t="str">
            <v>m</v>
          </cell>
          <cell r="D575">
            <v>367</v>
          </cell>
          <cell r="E575">
            <v>3.67</v>
          </cell>
          <cell r="F575">
            <v>370.5</v>
          </cell>
        </row>
        <row r="576">
          <cell r="A576">
            <v>2805</v>
          </cell>
          <cell r="B576" t="str">
            <v>Barbed wire</v>
          </cell>
          <cell r="C576" t="str">
            <v>m</v>
          </cell>
          <cell r="D576">
            <v>25.35</v>
          </cell>
          <cell r="E576">
            <v>0.25</v>
          </cell>
          <cell r="F576">
            <v>25.6</v>
          </cell>
        </row>
        <row r="577">
          <cell r="A577">
            <v>2806</v>
          </cell>
          <cell r="B577" t="str">
            <v>Hooks and washers</v>
          </cell>
          <cell r="C577" t="str">
            <v>Nr</v>
          </cell>
          <cell r="D577">
            <v>10.5</v>
          </cell>
          <cell r="E577">
            <v>0.11</v>
          </cell>
          <cell r="F577">
            <v>10.5</v>
          </cell>
        </row>
        <row r="578">
          <cell r="A578">
            <v>2807</v>
          </cell>
          <cell r="B578" t="str">
            <v>Concrete fence posts 6'-0"</v>
          </cell>
          <cell r="C578" t="str">
            <v>Nr</v>
          </cell>
          <cell r="D578">
            <v>930</v>
          </cell>
          <cell r="E578">
            <v>9.3000000000000007</v>
          </cell>
          <cell r="F578">
            <v>939.5</v>
          </cell>
        </row>
        <row r="579">
          <cell r="A579">
            <v>2808</v>
          </cell>
          <cell r="B579" t="str">
            <v>Concrete fence posts 6'-6"</v>
          </cell>
          <cell r="C579" t="str">
            <v>Nr</v>
          </cell>
          <cell r="D579">
            <v>1010</v>
          </cell>
          <cell r="E579">
            <v>10.1</v>
          </cell>
          <cell r="F579">
            <v>1020</v>
          </cell>
        </row>
        <row r="580">
          <cell r="A580">
            <v>2809</v>
          </cell>
          <cell r="B580" t="str">
            <v>Concrete fence posts 7'-0"</v>
          </cell>
          <cell r="C580" t="str">
            <v>Nr</v>
          </cell>
          <cell r="D580">
            <v>1100</v>
          </cell>
          <cell r="E580">
            <v>11</v>
          </cell>
          <cell r="F580">
            <v>1111</v>
          </cell>
        </row>
        <row r="581">
          <cell r="A581">
            <v>2810</v>
          </cell>
          <cell r="B581" t="str">
            <v>Concrete fence posts 8'-0"</v>
          </cell>
          <cell r="C581" t="str">
            <v>Nr</v>
          </cell>
          <cell r="D581">
            <v>1240</v>
          </cell>
          <cell r="E581">
            <v>12.4</v>
          </cell>
          <cell r="F581">
            <v>1252.5</v>
          </cell>
        </row>
        <row r="582">
          <cell r="A582">
            <v>2811</v>
          </cell>
          <cell r="B582" t="str">
            <v>Concrete fence posts 10'-6"</v>
          </cell>
          <cell r="C582" t="str">
            <v>Nr</v>
          </cell>
          <cell r="D582">
            <v>2850</v>
          </cell>
          <cell r="E582">
            <v>28.5</v>
          </cell>
          <cell r="F582">
            <v>2878.5</v>
          </cell>
        </row>
        <row r="583">
          <cell r="A583">
            <v>2812</v>
          </cell>
          <cell r="B583" t="str">
            <v>Concrete fence supporting posts for corner posts</v>
          </cell>
          <cell r="C583" t="str">
            <v>Nr</v>
          </cell>
          <cell r="D583">
            <v>1250</v>
          </cell>
          <cell r="E583">
            <v>12.5</v>
          </cell>
          <cell r="F583">
            <v>1262.5</v>
          </cell>
        </row>
        <row r="584">
          <cell r="A584">
            <v>2813</v>
          </cell>
          <cell r="B584" t="str">
            <v>2" GI pipes (1.8mm)</v>
          </cell>
          <cell r="C584" t="str">
            <v>m</v>
          </cell>
          <cell r="D584">
            <v>492</v>
          </cell>
          <cell r="E584">
            <v>4.92</v>
          </cell>
          <cell r="F584">
            <v>497</v>
          </cell>
        </row>
        <row r="585">
          <cell r="A585">
            <v>2814</v>
          </cell>
          <cell r="B585" t="str">
            <v>2" GI pipes (1.5mm)</v>
          </cell>
          <cell r="C585" t="str">
            <v>m</v>
          </cell>
          <cell r="D585">
            <v>459</v>
          </cell>
          <cell r="E585">
            <v>4.59</v>
          </cell>
          <cell r="F585">
            <v>463.5</v>
          </cell>
        </row>
        <row r="586">
          <cell r="A586">
            <v>2815</v>
          </cell>
          <cell r="B586" t="str">
            <v>1 1/2" GI pipes (1.8mm)</v>
          </cell>
          <cell r="C586" t="str">
            <v>m</v>
          </cell>
          <cell r="D586">
            <v>434</v>
          </cell>
          <cell r="E586">
            <v>4.34</v>
          </cell>
          <cell r="F586">
            <v>438.5</v>
          </cell>
        </row>
        <row r="587">
          <cell r="A587">
            <v>2816</v>
          </cell>
          <cell r="B587" t="str">
            <v>1 1/2" GI pipes (1.5mm)</v>
          </cell>
          <cell r="C587" t="str">
            <v>m</v>
          </cell>
          <cell r="D587">
            <v>359</v>
          </cell>
          <cell r="E587">
            <v>3.59</v>
          </cell>
          <cell r="F587">
            <v>362.5</v>
          </cell>
        </row>
        <row r="588">
          <cell r="A588">
            <v>2817</v>
          </cell>
          <cell r="B588" t="str">
            <v>1 1/4" GI pipes (2mm)</v>
          </cell>
          <cell r="C588" t="str">
            <v>m</v>
          </cell>
          <cell r="D588">
            <v>409</v>
          </cell>
          <cell r="E588">
            <v>4.09</v>
          </cell>
          <cell r="F588">
            <v>413</v>
          </cell>
        </row>
        <row r="589">
          <cell r="A589">
            <v>2818</v>
          </cell>
          <cell r="B589" t="str">
            <v>1 1/4" GI pipes (1.8mm)</v>
          </cell>
          <cell r="C589" t="str">
            <v>m</v>
          </cell>
          <cell r="D589">
            <v>359</v>
          </cell>
          <cell r="E589">
            <v>3.59</v>
          </cell>
          <cell r="F589">
            <v>362.5</v>
          </cell>
        </row>
        <row r="590">
          <cell r="A590">
            <v>2819</v>
          </cell>
          <cell r="B590" t="str">
            <v>1 1/4" GI pipes (1.5mm)</v>
          </cell>
          <cell r="C590" t="str">
            <v>m</v>
          </cell>
          <cell r="D590">
            <v>267</v>
          </cell>
          <cell r="E590">
            <v>2.67</v>
          </cell>
          <cell r="F590">
            <v>269.5</v>
          </cell>
        </row>
        <row r="591">
          <cell r="A591">
            <v>2820</v>
          </cell>
          <cell r="B591" t="str">
            <v>1 " GI pipes (1.8mm)</v>
          </cell>
          <cell r="C591" t="str">
            <v>m</v>
          </cell>
          <cell r="D591">
            <v>292</v>
          </cell>
          <cell r="E591">
            <v>2.92</v>
          </cell>
          <cell r="F591">
            <v>295</v>
          </cell>
        </row>
        <row r="592">
          <cell r="A592">
            <v>2821</v>
          </cell>
          <cell r="B592" t="str">
            <v>1 " GI pipes (1.5mm)</v>
          </cell>
          <cell r="C592" t="str">
            <v>m</v>
          </cell>
          <cell r="D592">
            <v>234</v>
          </cell>
          <cell r="E592">
            <v>2.34</v>
          </cell>
          <cell r="F592">
            <v>236.5</v>
          </cell>
        </row>
        <row r="593">
          <cell r="A593">
            <v>2822</v>
          </cell>
          <cell r="B593" t="str">
            <v>12mm thick MDF board</v>
          </cell>
          <cell r="C593" t="str">
            <v>m2</v>
          </cell>
          <cell r="D593">
            <v>718</v>
          </cell>
          <cell r="E593">
            <v>7.18</v>
          </cell>
          <cell r="F593">
            <v>725</v>
          </cell>
        </row>
        <row r="594">
          <cell r="A594">
            <v>2823</v>
          </cell>
          <cell r="B594" t="str">
            <v>12 mm thick regiform board</v>
          </cell>
          <cell r="C594" t="str">
            <v>m2</v>
          </cell>
          <cell r="D594">
            <v>131</v>
          </cell>
          <cell r="E594">
            <v>1.31</v>
          </cell>
          <cell r="F594">
            <v>132.5</v>
          </cell>
        </row>
        <row r="595">
          <cell r="A595">
            <v>2824</v>
          </cell>
          <cell r="B595" t="str">
            <v>Velvet cloth</v>
          </cell>
          <cell r="C595" t="str">
            <v>m2</v>
          </cell>
          <cell r="D595">
            <v>150</v>
          </cell>
          <cell r="E595">
            <v>1.5</v>
          </cell>
          <cell r="F595">
            <v>151.5</v>
          </cell>
        </row>
        <row r="596">
          <cell r="A596">
            <v>0</v>
          </cell>
          <cell r="B596">
            <v>0</v>
          </cell>
          <cell r="C596">
            <v>0</v>
          </cell>
          <cell r="D596">
            <v>0</v>
          </cell>
          <cell r="E596">
            <v>0</v>
          </cell>
          <cell r="F596">
            <v>0</v>
          </cell>
        </row>
        <row r="597">
          <cell r="A597">
            <v>0</v>
          </cell>
          <cell r="B597">
            <v>0</v>
          </cell>
          <cell r="C597">
            <v>0</v>
          </cell>
          <cell r="D597">
            <v>0</v>
          </cell>
          <cell r="E597">
            <v>0</v>
          </cell>
          <cell r="F597">
            <v>0</v>
          </cell>
        </row>
        <row r="599">
          <cell r="A599" t="str">
            <v xml:space="preserve">Prepared and Checked by B.S.R. Preparation Committee </v>
          </cell>
          <cell r="B599">
            <v>0</v>
          </cell>
          <cell r="C599">
            <v>0</v>
          </cell>
          <cell r="D599">
            <v>0</v>
          </cell>
          <cell r="E599">
            <v>0</v>
          </cell>
          <cell r="F599">
            <v>0</v>
          </cell>
        </row>
        <row r="600">
          <cell r="A600">
            <v>0</v>
          </cell>
          <cell r="B600">
            <v>0</v>
          </cell>
          <cell r="C600">
            <v>0</v>
          </cell>
          <cell r="D600">
            <v>0</v>
          </cell>
          <cell r="E600">
            <v>0</v>
          </cell>
          <cell r="F600">
            <v>0</v>
          </cell>
        </row>
        <row r="601">
          <cell r="A601" t="str">
            <v>1.</v>
          </cell>
          <cell r="B601" t="str">
            <v>Chairman : Eng. P. S. S. Vithanage, Chief Engineer (Buildings)</v>
          </cell>
          <cell r="C601">
            <v>0</v>
          </cell>
          <cell r="D601">
            <v>0</v>
          </cell>
          <cell r="E601">
            <v>0</v>
          </cell>
          <cell r="F601">
            <v>0</v>
          </cell>
        </row>
        <row r="602">
          <cell r="A602">
            <v>0</v>
          </cell>
          <cell r="B602">
            <v>0</v>
          </cell>
          <cell r="C602">
            <v>0</v>
          </cell>
          <cell r="D602">
            <v>0</v>
          </cell>
          <cell r="E602">
            <v>0</v>
          </cell>
          <cell r="F602">
            <v>0</v>
          </cell>
        </row>
        <row r="603">
          <cell r="A603" t="str">
            <v>2</v>
          </cell>
          <cell r="B603" t="str">
            <v>Member 1 : Eng H.M Jayarathna, Chief Engineer (Buildings)</v>
          </cell>
          <cell r="C603">
            <v>0</v>
          </cell>
          <cell r="D603">
            <v>0</v>
          </cell>
          <cell r="E603">
            <v>0</v>
          </cell>
          <cell r="F603">
            <v>0</v>
          </cell>
        </row>
        <row r="604">
          <cell r="A604">
            <v>0</v>
          </cell>
          <cell r="B604">
            <v>0</v>
          </cell>
          <cell r="C604">
            <v>0</v>
          </cell>
          <cell r="D604">
            <v>0</v>
          </cell>
          <cell r="E604">
            <v>0</v>
          </cell>
          <cell r="F604">
            <v>0</v>
          </cell>
        </row>
        <row r="605">
          <cell r="A605" t="str">
            <v>3</v>
          </cell>
          <cell r="B605" t="str">
            <v>Member 2 : Eng H.M Dharmarathna, Engineer</v>
          </cell>
          <cell r="C605">
            <v>0</v>
          </cell>
          <cell r="D605">
            <v>0</v>
          </cell>
          <cell r="E605">
            <v>0</v>
          </cell>
          <cell r="F605">
            <v>0</v>
          </cell>
        </row>
        <row r="606">
          <cell r="A606">
            <v>0</v>
          </cell>
          <cell r="B606">
            <v>0</v>
          </cell>
          <cell r="C606">
            <v>0</v>
          </cell>
          <cell r="D606">
            <v>0</v>
          </cell>
          <cell r="E606">
            <v>0</v>
          </cell>
          <cell r="F606">
            <v>0</v>
          </cell>
        </row>
        <row r="607">
          <cell r="A607" t="str">
            <v>4</v>
          </cell>
          <cell r="B607" t="str">
            <v>Member 3 : Eng. D.M.R. Dhanapala, Engineer</v>
          </cell>
          <cell r="C607">
            <v>0</v>
          </cell>
          <cell r="D607">
            <v>0</v>
          </cell>
          <cell r="E607">
            <v>0</v>
          </cell>
          <cell r="F607">
            <v>0</v>
          </cell>
        </row>
        <row r="608">
          <cell r="A608">
            <v>0</v>
          </cell>
          <cell r="B608">
            <v>0</v>
          </cell>
          <cell r="C608">
            <v>0</v>
          </cell>
          <cell r="D608">
            <v>0</v>
          </cell>
          <cell r="E608">
            <v>0</v>
          </cell>
          <cell r="F608">
            <v>0</v>
          </cell>
        </row>
        <row r="609">
          <cell r="A609">
            <v>0</v>
          </cell>
          <cell r="B609">
            <v>0</v>
          </cell>
          <cell r="C609">
            <v>0</v>
          </cell>
          <cell r="D609">
            <v>0</v>
          </cell>
          <cell r="E609">
            <v>0</v>
          </cell>
          <cell r="F609">
            <v>0</v>
          </cell>
        </row>
        <row r="610">
          <cell r="A610">
            <v>0</v>
          </cell>
          <cell r="B610">
            <v>0</v>
          </cell>
          <cell r="C610">
            <v>0</v>
          </cell>
          <cell r="D610">
            <v>0</v>
          </cell>
          <cell r="E610">
            <v>0</v>
          </cell>
          <cell r="F610">
            <v>0</v>
          </cell>
        </row>
        <row r="611">
          <cell r="A611" t="str">
            <v>Recommended by :</v>
          </cell>
          <cell r="B611">
            <v>0</v>
          </cell>
          <cell r="C611">
            <v>0</v>
          </cell>
          <cell r="D611">
            <v>0</v>
          </cell>
          <cell r="E611">
            <v>0</v>
          </cell>
          <cell r="F611">
            <v>0</v>
          </cell>
        </row>
        <row r="612">
          <cell r="A612">
            <v>0</v>
          </cell>
          <cell r="B612">
            <v>0</v>
          </cell>
          <cell r="C612">
            <v>0</v>
          </cell>
          <cell r="D612">
            <v>0</v>
          </cell>
          <cell r="E612">
            <v>0</v>
          </cell>
          <cell r="F612">
            <v>0</v>
          </cell>
        </row>
        <row r="613">
          <cell r="A613">
            <v>0</v>
          </cell>
          <cell r="B613">
            <v>0</v>
          </cell>
          <cell r="C613">
            <v>0</v>
          </cell>
          <cell r="D613">
            <v>0</v>
          </cell>
          <cell r="E613">
            <v>0</v>
          </cell>
          <cell r="F613">
            <v>0</v>
          </cell>
        </row>
        <row r="614">
          <cell r="A614">
            <v>0</v>
          </cell>
          <cell r="B614" t="str">
            <v>……………………………….</v>
          </cell>
          <cell r="C614">
            <v>0</v>
          </cell>
          <cell r="D614">
            <v>0</v>
          </cell>
          <cell r="E614">
            <v>0</v>
          </cell>
          <cell r="F614">
            <v>0</v>
          </cell>
        </row>
        <row r="615">
          <cell r="A615">
            <v>0</v>
          </cell>
          <cell r="B615" t="str">
            <v>Eng. D. M. K. S. Dissanayake</v>
          </cell>
          <cell r="C615">
            <v>0</v>
          </cell>
          <cell r="D615">
            <v>0</v>
          </cell>
          <cell r="E615">
            <v>0</v>
          </cell>
          <cell r="F615">
            <v>0</v>
          </cell>
        </row>
        <row r="616">
          <cell r="A616">
            <v>0</v>
          </cell>
          <cell r="B616" t="str">
            <v>Provincial Director ( Buildings)</v>
          </cell>
          <cell r="C616">
            <v>0</v>
          </cell>
          <cell r="D616">
            <v>0</v>
          </cell>
          <cell r="E616">
            <v>0</v>
          </cell>
          <cell r="F616">
            <v>0</v>
          </cell>
        </row>
        <row r="617">
          <cell r="A617">
            <v>0</v>
          </cell>
          <cell r="B617">
            <v>0</v>
          </cell>
          <cell r="C617">
            <v>0</v>
          </cell>
          <cell r="D617">
            <v>0</v>
          </cell>
          <cell r="E617">
            <v>0</v>
          </cell>
          <cell r="F617">
            <v>0</v>
          </cell>
        </row>
        <row r="618">
          <cell r="A618" t="str">
            <v>Approved by:</v>
          </cell>
          <cell r="B618">
            <v>0</v>
          </cell>
          <cell r="C618">
            <v>0</v>
          </cell>
          <cell r="D618">
            <v>0</v>
          </cell>
          <cell r="E618">
            <v>0</v>
          </cell>
          <cell r="F618">
            <v>0</v>
          </cell>
        </row>
        <row r="619">
          <cell r="A619">
            <v>0</v>
          </cell>
          <cell r="B619">
            <v>0</v>
          </cell>
          <cell r="C619">
            <v>0</v>
          </cell>
          <cell r="D619">
            <v>0</v>
          </cell>
        </row>
        <row r="620">
          <cell r="A620">
            <v>0</v>
          </cell>
          <cell r="B620">
            <v>0</v>
          </cell>
          <cell r="C620">
            <v>0</v>
          </cell>
          <cell r="D620">
            <v>0</v>
          </cell>
        </row>
        <row r="621">
          <cell r="A621">
            <v>0</v>
          </cell>
          <cell r="B621" t="str">
            <v>………………………………….</v>
          </cell>
          <cell r="C621">
            <v>0</v>
          </cell>
          <cell r="D621">
            <v>0</v>
          </cell>
        </row>
        <row r="622">
          <cell r="A622">
            <v>0</v>
          </cell>
          <cell r="B622" t="str">
            <v>Eng. M.L.C. Fernandu</v>
          </cell>
          <cell r="C622">
            <v>0</v>
          </cell>
          <cell r="D622">
            <v>0</v>
          </cell>
        </row>
        <row r="623">
          <cell r="A623">
            <v>0</v>
          </cell>
          <cell r="B623" t="str">
            <v>Deputy Chief Secretary ( Engineering Services)</v>
          </cell>
          <cell r="C623">
            <v>0</v>
          </cell>
          <cell r="D623">
            <v>0</v>
          </cell>
        </row>
        <row r="624">
          <cell r="A624">
            <v>0</v>
          </cell>
          <cell r="B624">
            <v>0</v>
          </cell>
          <cell r="C624">
            <v>0</v>
          </cell>
          <cell r="D624">
            <v>0</v>
          </cell>
        </row>
      </sheetData>
      <sheetData sheetId="1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Contents"/>
      <sheetName val="Instructions"/>
      <sheetName val="Rate Analysis"/>
      <sheetName val="Material list no need"/>
      <sheetName val="Measurement sheet"/>
      <sheetName val="BOM"/>
      <sheetName val="BOQ"/>
      <sheetName val="Rate Book"/>
      <sheetName val="Aluminium"/>
      <sheetName val="Material Prices"/>
      <sheetName val="Sheet1"/>
    </sheetNames>
    <sheetDataSet>
      <sheetData sheetId="0"/>
      <sheetData sheetId="1"/>
      <sheetData sheetId="2"/>
      <sheetData sheetId="3"/>
      <sheetData sheetId="4"/>
      <sheetData sheetId="5"/>
      <sheetData sheetId="6"/>
      <sheetData sheetId="7"/>
      <sheetData sheetId="8"/>
      <sheetData sheetId="9"/>
      <sheetData sheetId="10">
        <row r="5">
          <cell r="A5" t="str">
            <v>ITEM</v>
          </cell>
          <cell r="B5" t="str">
            <v>DESCRIPTION</v>
          </cell>
          <cell r="C5" t="str">
            <v>UNIT</v>
          </cell>
          <cell r="D5" t="str">
            <v>MARKETPRICE</v>
          </cell>
          <cell r="E5" t="str">
            <v>TRANSPORTCOST</v>
          </cell>
          <cell r="F5" t="str">
            <v>PROPOSEDRATE</v>
          </cell>
        </row>
        <row r="6">
          <cell r="B6" t="str">
            <v>LABOUR</v>
          </cell>
        </row>
        <row r="7">
          <cell r="A7">
            <v>101</v>
          </cell>
          <cell r="B7" t="str">
            <v>Skilled Labour</v>
          </cell>
          <cell r="C7" t="str">
            <v>day</v>
          </cell>
          <cell r="D7">
            <v>1200</v>
          </cell>
          <cell r="F7">
            <v>1200</v>
          </cell>
        </row>
        <row r="8">
          <cell r="A8">
            <v>102</v>
          </cell>
          <cell r="B8" t="str">
            <v>Semiskilled Labour</v>
          </cell>
          <cell r="C8" t="str">
            <v>day</v>
          </cell>
          <cell r="D8">
            <v>1000</v>
          </cell>
          <cell r="F8">
            <v>1000</v>
          </cell>
        </row>
        <row r="9">
          <cell r="A9">
            <v>103</v>
          </cell>
          <cell r="B9" t="str">
            <v>Unskilled Labour</v>
          </cell>
          <cell r="C9" t="str">
            <v>day</v>
          </cell>
          <cell r="D9">
            <v>800</v>
          </cell>
          <cell r="F9">
            <v>800</v>
          </cell>
        </row>
        <row r="10">
          <cell r="A10">
            <v>104</v>
          </cell>
          <cell r="B10" t="str">
            <v>Mason</v>
          </cell>
          <cell r="C10" t="str">
            <v>day</v>
          </cell>
          <cell r="D10">
            <v>1200</v>
          </cell>
          <cell r="F10">
            <v>1200</v>
          </cell>
        </row>
        <row r="11">
          <cell r="A11">
            <v>105</v>
          </cell>
          <cell r="B11" t="str">
            <v>Carpenter</v>
          </cell>
          <cell r="C11" t="str">
            <v>day</v>
          </cell>
          <cell r="D11">
            <v>1200</v>
          </cell>
          <cell r="F11">
            <v>1200</v>
          </cell>
        </row>
        <row r="12">
          <cell r="A12">
            <v>106</v>
          </cell>
          <cell r="B12" t="str">
            <v>Plumber</v>
          </cell>
          <cell r="C12" t="str">
            <v>day</v>
          </cell>
          <cell r="D12">
            <v>1200</v>
          </cell>
          <cell r="F12">
            <v>1200</v>
          </cell>
        </row>
        <row r="13">
          <cell r="A13">
            <v>107</v>
          </cell>
          <cell r="B13" t="str">
            <v>Painter</v>
          </cell>
          <cell r="C13" t="str">
            <v>day</v>
          </cell>
          <cell r="D13">
            <v>1200</v>
          </cell>
          <cell r="F13">
            <v>1200</v>
          </cell>
        </row>
        <row r="14">
          <cell r="A14">
            <v>108</v>
          </cell>
          <cell r="B14" t="str">
            <v>Welder</v>
          </cell>
          <cell r="C14" t="str">
            <v>day</v>
          </cell>
          <cell r="D14">
            <v>1200</v>
          </cell>
          <cell r="F14">
            <v>1200</v>
          </cell>
        </row>
        <row r="15">
          <cell r="A15">
            <v>109</v>
          </cell>
          <cell r="B15" t="str">
            <v>Bar Bender</v>
          </cell>
          <cell r="C15" t="str">
            <v>day</v>
          </cell>
          <cell r="D15">
            <v>1200</v>
          </cell>
          <cell r="F15">
            <v>1200</v>
          </cell>
        </row>
        <row r="16">
          <cell r="B16" t="str">
            <v>MACHINES</v>
          </cell>
        </row>
        <row r="17">
          <cell r="A17">
            <v>201</v>
          </cell>
          <cell r="B17" t="str">
            <v>Concrete Mixer</v>
          </cell>
          <cell r="C17" t="str">
            <v>day</v>
          </cell>
          <cell r="D17">
            <v>4500</v>
          </cell>
          <cell r="F17">
            <v>4500</v>
          </cell>
        </row>
        <row r="18">
          <cell r="A18">
            <v>202</v>
          </cell>
          <cell r="B18" t="str">
            <v>Pocker vibrator</v>
          </cell>
          <cell r="C18" t="str">
            <v>day</v>
          </cell>
          <cell r="D18">
            <v>2000</v>
          </cell>
          <cell r="F18">
            <v>2000</v>
          </cell>
        </row>
        <row r="19">
          <cell r="A19">
            <v>203</v>
          </cell>
          <cell r="B19" t="str">
            <v xml:space="preserve">   Vibrating roller (one ton)</v>
          </cell>
          <cell r="C19" t="str">
            <v>day</v>
          </cell>
          <cell r="D19">
            <v>4500</v>
          </cell>
          <cell r="F19">
            <v>4500</v>
          </cell>
        </row>
        <row r="20">
          <cell r="A20">
            <v>204</v>
          </cell>
          <cell r="B20" t="str">
            <v xml:space="preserve">    Tractor</v>
          </cell>
          <cell r="C20" t="str">
            <v>day</v>
          </cell>
          <cell r="D20">
            <v>5000</v>
          </cell>
          <cell r="F20">
            <v>5000</v>
          </cell>
        </row>
        <row r="22">
          <cell r="B22" t="str">
            <v>MATERIALS</v>
          </cell>
        </row>
        <row r="23">
          <cell r="B23" t="str">
            <v>Earth Work</v>
          </cell>
        </row>
        <row r="24">
          <cell r="A24">
            <v>301</v>
          </cell>
          <cell r="B24" t="str">
            <v>Baskets</v>
          </cell>
          <cell r="C24" t="str">
            <v>Nr</v>
          </cell>
          <cell r="D24">
            <v>350</v>
          </cell>
          <cell r="F24">
            <v>350</v>
          </cell>
        </row>
        <row r="25">
          <cell r="A25">
            <v>302</v>
          </cell>
          <cell r="B25" t="str">
            <v>Gravel</v>
          </cell>
          <cell r="C25" t="str">
            <v>m3</v>
          </cell>
          <cell r="D25">
            <v>265</v>
          </cell>
          <cell r="F25">
            <v>265</v>
          </cell>
        </row>
        <row r="26">
          <cell r="A26">
            <v>303</v>
          </cell>
          <cell r="B26" t="str">
            <v>Earth</v>
          </cell>
          <cell r="C26" t="str">
            <v>m3</v>
          </cell>
          <cell r="D26">
            <v>124</v>
          </cell>
          <cell r="F26">
            <v>124</v>
          </cell>
        </row>
        <row r="27">
          <cell r="A27">
            <v>304</v>
          </cell>
          <cell r="B27" t="str">
            <v>Blasting powder</v>
          </cell>
          <cell r="C27" t="str">
            <v>kg</v>
          </cell>
          <cell r="D27">
            <v>650</v>
          </cell>
          <cell r="E27">
            <v>6.5</v>
          </cell>
          <cell r="F27">
            <v>657</v>
          </cell>
        </row>
        <row r="28">
          <cell r="A28">
            <v>305</v>
          </cell>
          <cell r="B28" t="str">
            <v>Safety fuse</v>
          </cell>
          <cell r="C28" t="str">
            <v>m</v>
          </cell>
          <cell r="D28">
            <v>42.5</v>
          </cell>
          <cell r="E28">
            <v>0.43</v>
          </cell>
          <cell r="F28">
            <v>43</v>
          </cell>
        </row>
        <row r="29">
          <cell r="A29">
            <v>306</v>
          </cell>
          <cell r="B29" t="str">
            <v>Detonators</v>
          </cell>
          <cell r="C29" t="str">
            <v>Nr</v>
          </cell>
          <cell r="D29">
            <v>30.8</v>
          </cell>
          <cell r="E29">
            <v>0.31</v>
          </cell>
          <cell r="F29">
            <v>31</v>
          </cell>
        </row>
        <row r="30">
          <cell r="B30" t="str">
            <v>Concrete Work</v>
          </cell>
        </row>
        <row r="31">
          <cell r="A31">
            <v>401</v>
          </cell>
          <cell r="B31" t="str">
            <v>Sand</v>
          </cell>
          <cell r="C31" t="str">
            <v>m3</v>
          </cell>
          <cell r="D31">
            <v>2826</v>
          </cell>
          <cell r="F31">
            <v>2826</v>
          </cell>
        </row>
        <row r="32">
          <cell r="A32">
            <v>402</v>
          </cell>
          <cell r="B32" t="str">
            <v>Cement</v>
          </cell>
          <cell r="C32" t="str">
            <v>bag</v>
          </cell>
          <cell r="D32">
            <v>810</v>
          </cell>
          <cell r="F32">
            <v>810</v>
          </cell>
        </row>
        <row r="33">
          <cell r="A33">
            <v>403</v>
          </cell>
          <cell r="B33" t="str">
            <v>Metal 50mm</v>
          </cell>
          <cell r="C33" t="str">
            <v>m3</v>
          </cell>
          <cell r="D33">
            <v>1770</v>
          </cell>
          <cell r="F33">
            <v>1770</v>
          </cell>
        </row>
        <row r="34">
          <cell r="A34">
            <v>404</v>
          </cell>
          <cell r="B34" t="str">
            <v>Metal 38mm</v>
          </cell>
          <cell r="C34" t="str">
            <v>m3</v>
          </cell>
          <cell r="D34">
            <v>1838</v>
          </cell>
          <cell r="F34">
            <v>1838</v>
          </cell>
        </row>
        <row r="35">
          <cell r="A35">
            <v>405</v>
          </cell>
          <cell r="B35" t="str">
            <v>Metal 25mm</v>
          </cell>
          <cell r="C35" t="str">
            <v>m3</v>
          </cell>
          <cell r="D35">
            <v>1945</v>
          </cell>
          <cell r="F35">
            <v>1945</v>
          </cell>
        </row>
        <row r="36">
          <cell r="A36">
            <v>406</v>
          </cell>
          <cell r="B36" t="str">
            <v>Metal 20mm</v>
          </cell>
          <cell r="C36" t="str">
            <v>m3</v>
          </cell>
          <cell r="D36">
            <v>2050</v>
          </cell>
          <cell r="F36">
            <v>2050</v>
          </cell>
        </row>
        <row r="37">
          <cell r="A37">
            <v>407</v>
          </cell>
          <cell r="B37" t="str">
            <v>Metal 12.5mm</v>
          </cell>
          <cell r="C37" t="str">
            <v>m3</v>
          </cell>
          <cell r="D37">
            <v>1485</v>
          </cell>
          <cell r="F37">
            <v>1485</v>
          </cell>
        </row>
        <row r="38">
          <cell r="B38" t="str">
            <v>Formwork</v>
          </cell>
          <cell r="F38">
            <v>0</v>
          </cell>
        </row>
        <row r="39">
          <cell r="A39">
            <v>501</v>
          </cell>
          <cell r="B39" t="str">
            <v>Shuttering planks - 25mm thick</v>
          </cell>
          <cell r="C39" t="str">
            <v>m2</v>
          </cell>
          <cell r="D39">
            <v>444</v>
          </cell>
          <cell r="E39">
            <v>4.4400000000000004</v>
          </cell>
          <cell r="F39">
            <v>448.5</v>
          </cell>
        </row>
        <row r="40">
          <cell r="A40">
            <v>502</v>
          </cell>
          <cell r="B40" t="str">
            <v>Plywood sheets - 20mm thick</v>
          </cell>
          <cell r="C40" t="str">
            <v>m2</v>
          </cell>
          <cell r="D40">
            <v>1043</v>
          </cell>
          <cell r="E40">
            <v>10.43</v>
          </cell>
          <cell r="F40">
            <v>1053.5</v>
          </cell>
        </row>
        <row r="41">
          <cell r="A41">
            <v>503</v>
          </cell>
          <cell r="B41" t="str">
            <v>Round timber 3m</v>
          </cell>
          <cell r="C41" t="str">
            <v>Nr</v>
          </cell>
          <cell r="D41">
            <v>60</v>
          </cell>
          <cell r="E41">
            <v>0.6</v>
          </cell>
          <cell r="F41">
            <v>60.5</v>
          </cell>
        </row>
        <row r="42">
          <cell r="A42">
            <v>504</v>
          </cell>
          <cell r="B42" t="str">
            <v>Bamboo 3m</v>
          </cell>
          <cell r="C42" t="str">
            <v>Nr</v>
          </cell>
          <cell r="D42">
            <v>60</v>
          </cell>
          <cell r="E42">
            <v>0.6</v>
          </cell>
          <cell r="F42">
            <v>60.6</v>
          </cell>
        </row>
        <row r="43">
          <cell r="A43">
            <v>505</v>
          </cell>
          <cell r="B43" t="str">
            <v>100mmx50mm class II timber</v>
          </cell>
          <cell r="C43" t="str">
            <v>m</v>
          </cell>
          <cell r="D43">
            <v>193.2</v>
          </cell>
          <cell r="E43">
            <v>1.93</v>
          </cell>
          <cell r="F43">
            <v>195</v>
          </cell>
        </row>
        <row r="44">
          <cell r="A44">
            <v>506</v>
          </cell>
          <cell r="B44" t="str">
            <v>50mmx50mm class II timber</v>
          </cell>
          <cell r="C44" t="str">
            <v>m</v>
          </cell>
          <cell r="D44">
            <v>109</v>
          </cell>
          <cell r="E44">
            <v>1.0900000000000001</v>
          </cell>
          <cell r="F44">
            <v>110</v>
          </cell>
        </row>
        <row r="45">
          <cell r="A45">
            <v>507</v>
          </cell>
          <cell r="B45" t="str">
            <v>Nail</v>
          </cell>
          <cell r="C45" t="str">
            <v>kg</v>
          </cell>
          <cell r="D45">
            <v>125</v>
          </cell>
          <cell r="E45">
            <v>1.25</v>
          </cell>
          <cell r="F45">
            <v>126.5</v>
          </cell>
        </row>
        <row r="46">
          <cell r="A46">
            <v>508</v>
          </cell>
          <cell r="B46" t="str">
            <v>Mould oil</v>
          </cell>
          <cell r="C46" t="str">
            <v>l</v>
          </cell>
          <cell r="D46">
            <v>89</v>
          </cell>
          <cell r="E46">
            <v>0.89</v>
          </cell>
          <cell r="F46">
            <v>90</v>
          </cell>
        </row>
        <row r="47">
          <cell r="A47">
            <v>509</v>
          </cell>
          <cell r="B47" t="str">
            <v>10mm dia. 450mm bolts</v>
          </cell>
          <cell r="C47" t="str">
            <v>Nr</v>
          </cell>
          <cell r="D47">
            <v>68</v>
          </cell>
          <cell r="E47">
            <v>0.68</v>
          </cell>
          <cell r="F47">
            <v>69</v>
          </cell>
        </row>
        <row r="48">
          <cell r="B48" t="str">
            <v>Reinforcement</v>
          </cell>
        </row>
        <row r="49">
          <cell r="A49">
            <v>601</v>
          </cell>
          <cell r="B49" t="str">
            <v>Steel  MS - 6mm</v>
          </cell>
          <cell r="C49" t="str">
            <v>kg</v>
          </cell>
          <cell r="D49">
            <v>78.400000000000006</v>
          </cell>
          <cell r="E49">
            <v>1.57</v>
          </cell>
          <cell r="F49">
            <v>80</v>
          </cell>
        </row>
        <row r="50">
          <cell r="A50">
            <v>602</v>
          </cell>
          <cell r="B50" t="str">
            <v>Steel  MS - &gt;6mm</v>
          </cell>
          <cell r="C50" t="str">
            <v>kg</v>
          </cell>
          <cell r="D50">
            <v>113</v>
          </cell>
          <cell r="E50">
            <v>2.2599999999999998</v>
          </cell>
          <cell r="F50">
            <v>115.5</v>
          </cell>
        </row>
        <row r="51">
          <cell r="A51">
            <v>603</v>
          </cell>
          <cell r="B51" t="str">
            <v>Steel  TS</v>
          </cell>
          <cell r="C51" t="str">
            <v>kg</v>
          </cell>
          <cell r="D51">
            <v>112</v>
          </cell>
          <cell r="E51">
            <v>2.2400000000000002</v>
          </cell>
          <cell r="F51">
            <v>114</v>
          </cell>
        </row>
        <row r="52">
          <cell r="A52">
            <v>604</v>
          </cell>
          <cell r="B52" t="str">
            <v>Binding wire</v>
          </cell>
          <cell r="C52" t="str">
            <v>kg</v>
          </cell>
          <cell r="D52">
            <v>130</v>
          </cell>
          <cell r="E52">
            <v>2.6</v>
          </cell>
          <cell r="F52">
            <v>132</v>
          </cell>
        </row>
        <row r="53">
          <cell r="B53" t="str">
            <v>Brick Work</v>
          </cell>
        </row>
        <row r="54">
          <cell r="A54">
            <v>701</v>
          </cell>
          <cell r="B54" t="str">
            <v>Bricks 220x105x65mm</v>
          </cell>
          <cell r="C54" t="str">
            <v>Nr</v>
          </cell>
          <cell r="D54">
            <v>4.5</v>
          </cell>
          <cell r="F54">
            <v>4.5</v>
          </cell>
        </row>
        <row r="55">
          <cell r="A55">
            <v>702</v>
          </cell>
          <cell r="B55" t="str">
            <v>Wire cut bricks</v>
          </cell>
          <cell r="C55" t="str">
            <v>Nr</v>
          </cell>
          <cell r="D55">
            <v>18</v>
          </cell>
          <cell r="F55">
            <v>18</v>
          </cell>
        </row>
        <row r="56">
          <cell r="A56">
            <v>703</v>
          </cell>
          <cell r="B56" t="str">
            <v>Batik bricks</v>
          </cell>
          <cell r="C56" t="str">
            <v>Nr</v>
          </cell>
          <cell r="D56">
            <v>22</v>
          </cell>
          <cell r="F56">
            <v>22</v>
          </cell>
        </row>
        <row r="57">
          <cell r="A57">
            <v>704</v>
          </cell>
          <cell r="B57" t="str">
            <v>Bricks 220x105x100mm</v>
          </cell>
          <cell r="C57" t="str">
            <v>Nr</v>
          </cell>
          <cell r="D57">
            <v>10</v>
          </cell>
          <cell r="F57">
            <v>10</v>
          </cell>
        </row>
        <row r="58">
          <cell r="A58">
            <v>705</v>
          </cell>
          <cell r="B58" t="str">
            <v>Bricks 220x150x100mm</v>
          </cell>
          <cell r="C58" t="str">
            <v>Nr</v>
          </cell>
          <cell r="D58">
            <v>12.5</v>
          </cell>
          <cell r="F58">
            <v>12.5</v>
          </cell>
        </row>
        <row r="59">
          <cell r="B59" t="str">
            <v>Masonry</v>
          </cell>
        </row>
        <row r="60">
          <cell r="A60">
            <v>801</v>
          </cell>
          <cell r="B60" t="str">
            <v>150x225mm rubble</v>
          </cell>
          <cell r="C60" t="str">
            <v>m3</v>
          </cell>
          <cell r="D60">
            <v>700</v>
          </cell>
          <cell r="F60">
            <v>700</v>
          </cell>
        </row>
        <row r="61">
          <cell r="A61">
            <v>802</v>
          </cell>
          <cell r="B61" t="str">
            <v>DPC Tar</v>
          </cell>
          <cell r="C61" t="str">
            <v>l</v>
          </cell>
          <cell r="D61">
            <v>96</v>
          </cell>
          <cell r="E61">
            <v>0.96</v>
          </cell>
          <cell r="F61">
            <v>97</v>
          </cell>
        </row>
        <row r="62">
          <cell r="B62" t="str">
            <v>Pavior</v>
          </cell>
        </row>
        <row r="63">
          <cell r="A63">
            <v>901</v>
          </cell>
          <cell r="B63" t="str">
            <v>Antitermite treatment - Sub contractors rate</v>
          </cell>
          <cell r="C63" t="str">
            <v>m2</v>
          </cell>
          <cell r="D63">
            <v>269</v>
          </cell>
          <cell r="F63">
            <v>269</v>
          </cell>
        </row>
        <row r="64">
          <cell r="A64">
            <v>902</v>
          </cell>
          <cell r="B64" t="str">
            <v>Water proofing - Sub contractors rate</v>
          </cell>
          <cell r="C64" t="str">
            <v>m2</v>
          </cell>
          <cell r="D64">
            <v>1126</v>
          </cell>
          <cell r="F64">
            <v>1126</v>
          </cell>
        </row>
        <row r="65">
          <cell r="A65">
            <v>903</v>
          </cell>
          <cell r="B65" t="str">
            <v>Gauge 1000 polythene</v>
          </cell>
          <cell r="C65" t="str">
            <v>m2</v>
          </cell>
          <cell r="D65">
            <v>66</v>
          </cell>
          <cell r="E65">
            <v>0.66</v>
          </cell>
          <cell r="F65">
            <v>66.66</v>
          </cell>
        </row>
        <row r="66">
          <cell r="A66">
            <v>904</v>
          </cell>
          <cell r="B66" t="str">
            <v>Crystaline waterproofing material (XYPEX concentrate)</v>
          </cell>
          <cell r="C66" t="str">
            <v>kg</v>
          </cell>
          <cell r="D66">
            <v>1065</v>
          </cell>
          <cell r="F66">
            <v>1065</v>
          </cell>
        </row>
        <row r="67">
          <cell r="B67" t="str">
            <v>Tiller</v>
          </cell>
          <cell r="F67">
            <v>0</v>
          </cell>
        </row>
        <row r="68">
          <cell r="A68">
            <v>1001</v>
          </cell>
          <cell r="B68" t="str">
            <v>100x100 glazed wall tiles</v>
          </cell>
          <cell r="C68" t="str">
            <v>Nr</v>
          </cell>
          <cell r="D68">
            <v>14</v>
          </cell>
          <cell r="E68">
            <v>0.14000000000000001</v>
          </cell>
          <cell r="F68">
            <v>14.5</v>
          </cell>
        </row>
        <row r="69">
          <cell r="A69">
            <v>1002</v>
          </cell>
          <cell r="B69" t="str">
            <v>150x150 glazed wall tiles</v>
          </cell>
          <cell r="C69" t="str">
            <v>Nr</v>
          </cell>
          <cell r="D69">
            <v>26</v>
          </cell>
          <cell r="E69">
            <v>0.26</v>
          </cell>
          <cell r="F69">
            <v>26.5</v>
          </cell>
        </row>
        <row r="70">
          <cell r="A70">
            <v>1003</v>
          </cell>
          <cell r="B70" t="str">
            <v>200x300 glazed wall tiles</v>
          </cell>
          <cell r="C70" t="str">
            <v>Nr</v>
          </cell>
          <cell r="D70">
            <v>80</v>
          </cell>
          <cell r="E70">
            <v>0.8</v>
          </cell>
          <cell r="F70">
            <v>81</v>
          </cell>
        </row>
        <row r="71">
          <cell r="A71">
            <v>1004</v>
          </cell>
          <cell r="B71" t="str">
            <v>300x400 glazed wall tiles</v>
          </cell>
          <cell r="C71" t="str">
            <v>Nr</v>
          </cell>
          <cell r="D71">
            <v>196</v>
          </cell>
          <cell r="E71">
            <v>1.96</v>
          </cell>
          <cell r="F71">
            <v>198</v>
          </cell>
        </row>
        <row r="72">
          <cell r="A72">
            <v>1005</v>
          </cell>
          <cell r="B72" t="str">
            <v>200x200 non skid floor tiles</v>
          </cell>
          <cell r="C72" t="str">
            <v>Nr</v>
          </cell>
          <cell r="D72">
            <v>63</v>
          </cell>
          <cell r="E72">
            <v>0.63</v>
          </cell>
          <cell r="F72">
            <v>63.63</v>
          </cell>
        </row>
        <row r="73">
          <cell r="A73">
            <v>1006</v>
          </cell>
          <cell r="B73" t="str">
            <v>300x300 non skid floor tiles</v>
          </cell>
          <cell r="C73" t="str">
            <v>Nr</v>
          </cell>
          <cell r="D73">
            <v>165</v>
          </cell>
          <cell r="E73">
            <v>1.65</v>
          </cell>
          <cell r="F73">
            <v>134</v>
          </cell>
        </row>
        <row r="74">
          <cell r="A74">
            <v>1007</v>
          </cell>
          <cell r="B74" t="str">
            <v>450x450 non skid floor tiles</v>
          </cell>
          <cell r="C74" t="str">
            <v>Nr</v>
          </cell>
          <cell r="D74">
            <v>294</v>
          </cell>
          <cell r="E74">
            <v>2.94</v>
          </cell>
          <cell r="F74">
            <v>297</v>
          </cell>
        </row>
        <row r="75">
          <cell r="A75">
            <v>1008</v>
          </cell>
          <cell r="B75" t="str">
            <v>200x200 non skid floor tiles - Homogeneous</v>
          </cell>
          <cell r="C75" t="str">
            <v>Nr</v>
          </cell>
          <cell r="D75">
            <v>74</v>
          </cell>
          <cell r="E75">
            <v>0.74</v>
          </cell>
          <cell r="F75">
            <v>75</v>
          </cell>
        </row>
        <row r="76">
          <cell r="A76">
            <v>1009</v>
          </cell>
          <cell r="B76" t="str">
            <v>300x300 non skid floor tiles - Homogeneous</v>
          </cell>
          <cell r="C76" t="str">
            <v>Nr</v>
          </cell>
          <cell r="D76">
            <v>297</v>
          </cell>
          <cell r="E76">
            <v>2.97</v>
          </cell>
          <cell r="F76">
            <v>146.5</v>
          </cell>
        </row>
        <row r="77">
          <cell r="A77">
            <v>1010</v>
          </cell>
          <cell r="B77" t="str">
            <v>400x400 non skid floor tiles - Homogeneous</v>
          </cell>
          <cell r="C77" t="str">
            <v>Nr</v>
          </cell>
          <cell r="D77">
            <v>475</v>
          </cell>
          <cell r="E77">
            <v>4.75</v>
          </cell>
          <cell r="F77">
            <v>283</v>
          </cell>
        </row>
        <row r="78">
          <cell r="A78">
            <v>1011</v>
          </cell>
          <cell r="B78" t="str">
            <v>PVC tile beading</v>
          </cell>
          <cell r="C78" t="str">
            <v>m</v>
          </cell>
          <cell r="D78">
            <v>35</v>
          </cell>
          <cell r="E78">
            <v>0.35</v>
          </cell>
          <cell r="F78">
            <v>35.5</v>
          </cell>
        </row>
        <row r="79">
          <cell r="A79">
            <v>1012</v>
          </cell>
          <cell r="B79" t="str">
            <v>Stainless steel tile beading</v>
          </cell>
          <cell r="C79" t="str">
            <v>m</v>
          </cell>
        </row>
        <row r="80">
          <cell r="A80">
            <v>1013</v>
          </cell>
          <cell r="B80" t="str">
            <v>non skid homogenous floor tiles quality 3</v>
          </cell>
          <cell r="C80" t="str">
            <v>m2</v>
          </cell>
          <cell r="D80">
            <v>1500</v>
          </cell>
          <cell r="E80">
            <v>15</v>
          </cell>
          <cell r="F80">
            <v>1515</v>
          </cell>
        </row>
        <row r="81">
          <cell r="A81">
            <v>1014</v>
          </cell>
          <cell r="B81" t="str">
            <v>non skid homogenous floor tiles quality 2</v>
          </cell>
          <cell r="C81" t="str">
            <v>m2</v>
          </cell>
          <cell r="D81">
            <v>1850</v>
          </cell>
          <cell r="E81">
            <v>18.5</v>
          </cell>
          <cell r="F81">
            <v>1868.5</v>
          </cell>
        </row>
        <row r="82">
          <cell r="A82">
            <v>1015</v>
          </cell>
          <cell r="B82" t="str">
            <v xml:space="preserve">non skid homogenous floor tiles quality 1 </v>
          </cell>
          <cell r="C82" t="str">
            <v>m2</v>
          </cell>
          <cell r="D82">
            <v>2425</v>
          </cell>
          <cell r="E82">
            <v>24.25</v>
          </cell>
          <cell r="F82">
            <v>2449.25</v>
          </cell>
        </row>
        <row r="83">
          <cell r="A83">
            <v>1016</v>
          </cell>
          <cell r="B83" t="str">
            <v>glazed wall tiles quality 1</v>
          </cell>
          <cell r="C83" t="str">
            <v>m2</v>
          </cell>
          <cell r="D83">
            <v>1500</v>
          </cell>
          <cell r="E83">
            <v>15</v>
          </cell>
          <cell r="F83">
            <v>1515</v>
          </cell>
        </row>
        <row r="84">
          <cell r="A84">
            <v>1017</v>
          </cell>
          <cell r="B84" t="str">
            <v xml:space="preserve">100mm high Timber Skirting </v>
          </cell>
          <cell r="C84" t="str">
            <v>m</v>
          </cell>
          <cell r="D84">
            <v>214</v>
          </cell>
          <cell r="E84">
            <v>2.14</v>
          </cell>
          <cell r="F84">
            <v>216.14</v>
          </cell>
        </row>
        <row r="85">
          <cell r="A85">
            <v>1018</v>
          </cell>
          <cell r="B85" t="str">
            <v>600x600 non skid floor tiles - Homogeneous</v>
          </cell>
          <cell r="C85" t="str">
            <v>m2</v>
          </cell>
          <cell r="D85">
            <v>790</v>
          </cell>
          <cell r="E85">
            <v>7.9</v>
          </cell>
          <cell r="F85">
            <v>797.9</v>
          </cell>
        </row>
        <row r="86">
          <cell r="A86">
            <v>1019</v>
          </cell>
          <cell r="B86" t="str">
            <v>600x300 non skid floor tiles - Homogeneous</v>
          </cell>
          <cell r="C86" t="str">
            <v>m2</v>
          </cell>
          <cell r="D86">
            <v>790</v>
          </cell>
          <cell r="E86">
            <v>7.9</v>
          </cell>
          <cell r="F86">
            <v>797.9</v>
          </cell>
        </row>
        <row r="87">
          <cell r="E87">
            <v>0</v>
          </cell>
          <cell r="F87">
            <v>0</v>
          </cell>
        </row>
        <row r="88">
          <cell r="B88" t="str">
            <v>Roofer</v>
          </cell>
          <cell r="F88">
            <v>0</v>
          </cell>
        </row>
        <row r="89">
          <cell r="A89">
            <v>1101</v>
          </cell>
          <cell r="B89" t="str">
            <v>Special class timber</v>
          </cell>
          <cell r="C89" t="str">
            <v>m3</v>
          </cell>
          <cell r="D89">
            <v>75987</v>
          </cell>
          <cell r="E89">
            <v>759.87</v>
          </cell>
          <cell r="F89">
            <v>76747</v>
          </cell>
        </row>
        <row r="90">
          <cell r="A90">
            <v>1102</v>
          </cell>
          <cell r="B90" t="str">
            <v>50mmx25mm special class timber</v>
          </cell>
          <cell r="C90" t="str">
            <v>m</v>
          </cell>
          <cell r="D90">
            <v>65.599999999999994</v>
          </cell>
          <cell r="E90">
            <v>0.66</v>
          </cell>
          <cell r="F90">
            <v>66.5</v>
          </cell>
        </row>
        <row r="91">
          <cell r="A91">
            <v>1103</v>
          </cell>
          <cell r="B91" t="str">
            <v>50mmx50mm special class timber</v>
          </cell>
          <cell r="C91" t="str">
            <v>m</v>
          </cell>
          <cell r="D91">
            <v>136.19999999999999</v>
          </cell>
          <cell r="E91">
            <v>1.36</v>
          </cell>
          <cell r="F91">
            <v>137.5</v>
          </cell>
        </row>
        <row r="92">
          <cell r="A92">
            <v>1104</v>
          </cell>
          <cell r="B92" t="str">
            <v>100mmx50mm special class timber</v>
          </cell>
          <cell r="C92" t="str">
            <v>m</v>
          </cell>
          <cell r="D92">
            <v>385.5</v>
          </cell>
          <cell r="E92">
            <v>3.86</v>
          </cell>
          <cell r="F92">
            <v>389.5</v>
          </cell>
        </row>
        <row r="93">
          <cell r="A93">
            <v>1105</v>
          </cell>
          <cell r="B93" t="str">
            <v>100mmx75mm special class timber</v>
          </cell>
          <cell r="C93" t="str">
            <v>m</v>
          </cell>
          <cell r="D93">
            <v>587</v>
          </cell>
          <cell r="E93">
            <v>5.87</v>
          </cell>
          <cell r="F93">
            <v>593</v>
          </cell>
        </row>
        <row r="94">
          <cell r="A94">
            <v>1106</v>
          </cell>
          <cell r="B94" t="str">
            <v>125mmx50mm special class timber</v>
          </cell>
          <cell r="C94" t="str">
            <v>m</v>
          </cell>
          <cell r="D94">
            <v>487.8</v>
          </cell>
          <cell r="E94">
            <v>4.88</v>
          </cell>
          <cell r="F94">
            <v>492.5</v>
          </cell>
        </row>
        <row r="95">
          <cell r="A95">
            <v>1107</v>
          </cell>
          <cell r="B95" t="str">
            <v>125mmx75mm special class timber</v>
          </cell>
          <cell r="C95" t="str">
            <v>m</v>
          </cell>
          <cell r="D95">
            <v>742.9</v>
          </cell>
          <cell r="E95">
            <v>7.43</v>
          </cell>
          <cell r="F95">
            <v>750.5</v>
          </cell>
        </row>
        <row r="96">
          <cell r="A96">
            <v>1108</v>
          </cell>
          <cell r="B96" t="str">
            <v>150mmx50mm special class timber</v>
          </cell>
          <cell r="C96" t="str">
            <v>m</v>
          </cell>
          <cell r="D96">
            <v>589.70000000000005</v>
          </cell>
          <cell r="E96">
            <v>5.9</v>
          </cell>
          <cell r="F96">
            <v>595.5</v>
          </cell>
        </row>
        <row r="97">
          <cell r="A97">
            <v>1109</v>
          </cell>
          <cell r="B97" t="str">
            <v>150mmx75mm special class timber</v>
          </cell>
          <cell r="C97" t="str">
            <v>m</v>
          </cell>
          <cell r="D97">
            <v>901.5</v>
          </cell>
          <cell r="E97">
            <v>9.02</v>
          </cell>
          <cell r="F97">
            <v>910.5</v>
          </cell>
        </row>
        <row r="98">
          <cell r="A98">
            <v>1110</v>
          </cell>
          <cell r="B98" t="str">
            <v>Asbestos sheet</v>
          </cell>
          <cell r="C98" t="str">
            <v>m2</v>
          </cell>
          <cell r="D98">
            <v>440</v>
          </cell>
          <cell r="E98">
            <v>4.4000000000000004</v>
          </cell>
          <cell r="F98">
            <v>444.5</v>
          </cell>
        </row>
        <row r="99">
          <cell r="A99">
            <v>1111</v>
          </cell>
          <cell r="B99" t="str">
            <v>Roofing screws 112mm&amp; washer</v>
          </cell>
          <cell r="C99" t="str">
            <v>Nr</v>
          </cell>
          <cell r="D99">
            <v>20</v>
          </cell>
          <cell r="E99">
            <v>0.2</v>
          </cell>
          <cell r="F99">
            <v>20.5</v>
          </cell>
        </row>
        <row r="100">
          <cell r="A100">
            <v>1112</v>
          </cell>
          <cell r="B100" t="str">
            <v>Wood preservative</v>
          </cell>
          <cell r="C100" t="str">
            <v>l</v>
          </cell>
          <cell r="D100">
            <v>325</v>
          </cell>
          <cell r="E100">
            <v>3.25</v>
          </cell>
          <cell r="F100">
            <v>328.5</v>
          </cell>
        </row>
        <row r="101">
          <cell r="A101">
            <v>1113</v>
          </cell>
          <cell r="B101" t="str">
            <v>J bolt and nut</v>
          </cell>
          <cell r="C101" t="str">
            <v>Nr</v>
          </cell>
          <cell r="D101">
            <v>13</v>
          </cell>
          <cell r="E101">
            <v>0.13</v>
          </cell>
          <cell r="F101">
            <v>13.5</v>
          </cell>
        </row>
        <row r="102">
          <cell r="A102">
            <v>1114</v>
          </cell>
          <cell r="B102" t="str">
            <v xml:space="preserve">12mm bolt and nut </v>
          </cell>
          <cell r="C102" t="str">
            <v>Nr</v>
          </cell>
          <cell r="D102">
            <v>16</v>
          </cell>
          <cell r="E102">
            <v>0.16</v>
          </cell>
          <cell r="F102">
            <v>16.5</v>
          </cell>
        </row>
        <row r="103">
          <cell r="A103">
            <v>1115</v>
          </cell>
          <cell r="B103" t="str">
            <v>50x50x5.8mm angle irons</v>
          </cell>
          <cell r="C103" t="str">
            <v>m</v>
          </cell>
          <cell r="D103">
            <v>467</v>
          </cell>
          <cell r="E103">
            <v>4.67</v>
          </cell>
          <cell r="F103">
            <v>471.5</v>
          </cell>
        </row>
        <row r="104">
          <cell r="A104">
            <v>1116</v>
          </cell>
          <cell r="B104" t="str">
            <v>62.5x62.5x5.8mm angle irons</v>
          </cell>
          <cell r="C104" t="str">
            <v>m</v>
          </cell>
          <cell r="D104">
            <v>608</v>
          </cell>
          <cell r="E104">
            <v>6.08</v>
          </cell>
          <cell r="F104">
            <v>614</v>
          </cell>
        </row>
        <row r="105">
          <cell r="A105">
            <v>1117</v>
          </cell>
          <cell r="B105" t="str">
            <v>75x75x5.8mm angle irons</v>
          </cell>
          <cell r="C105" t="str">
            <v>m</v>
          </cell>
          <cell r="D105">
            <v>825</v>
          </cell>
          <cell r="E105">
            <v>8.25</v>
          </cell>
          <cell r="F105">
            <v>833.5</v>
          </cell>
        </row>
        <row r="106">
          <cell r="A106">
            <v>1118</v>
          </cell>
          <cell r="B106" t="str">
            <v>6'-0" asbestos sheets</v>
          </cell>
          <cell r="C106" t="str">
            <v>Nr</v>
          </cell>
          <cell r="D106">
            <v>820</v>
          </cell>
          <cell r="E106">
            <v>8.1999999999999993</v>
          </cell>
          <cell r="F106">
            <v>828</v>
          </cell>
        </row>
        <row r="107">
          <cell r="A107">
            <v>1119</v>
          </cell>
          <cell r="B107" t="str">
            <v>8'-0" asbestos sheets</v>
          </cell>
          <cell r="C107" t="str">
            <v>Nr</v>
          </cell>
          <cell r="D107">
            <v>1150</v>
          </cell>
          <cell r="E107">
            <v>11.5</v>
          </cell>
          <cell r="F107">
            <v>1161.5</v>
          </cell>
        </row>
        <row r="108">
          <cell r="A108">
            <v>1120</v>
          </cell>
          <cell r="B108" t="str">
            <v>10'-0" asbestos sheets</v>
          </cell>
          <cell r="C108" t="str">
            <v>Nr</v>
          </cell>
          <cell r="D108">
            <v>1360</v>
          </cell>
          <cell r="E108">
            <v>13.6</v>
          </cell>
          <cell r="F108">
            <v>1373.5</v>
          </cell>
        </row>
        <row r="109">
          <cell r="A109">
            <v>1121</v>
          </cell>
          <cell r="B109" t="str">
            <v>12'-0" asbestos sheets</v>
          </cell>
          <cell r="C109" t="str">
            <v>Nr</v>
          </cell>
          <cell r="D109">
            <v>1730</v>
          </cell>
          <cell r="E109">
            <v>17.3</v>
          </cell>
          <cell r="F109">
            <v>1747.5</v>
          </cell>
        </row>
        <row r="110">
          <cell r="A110">
            <v>1122</v>
          </cell>
          <cell r="B110" t="str">
            <v>100x50x2mm "C" channels</v>
          </cell>
          <cell r="C110" t="str">
            <v>m</v>
          </cell>
          <cell r="D110">
            <v>355</v>
          </cell>
          <cell r="E110">
            <v>3.55</v>
          </cell>
          <cell r="F110">
            <v>358.5</v>
          </cell>
        </row>
        <row r="111">
          <cell r="A111">
            <v>1123</v>
          </cell>
          <cell r="B111" t="str">
            <v>0.47mm tk. Zn-alum sheets</v>
          </cell>
          <cell r="C111" t="str">
            <v>m2</v>
          </cell>
          <cell r="D111">
            <v>1078</v>
          </cell>
          <cell r="E111">
            <v>10.78</v>
          </cell>
          <cell r="F111">
            <v>1089</v>
          </cell>
        </row>
        <row r="112">
          <cell r="A112">
            <v>1124</v>
          </cell>
          <cell r="B112" t="str">
            <v>Fasteners</v>
          </cell>
          <cell r="C112" t="str">
            <v>Nr</v>
          </cell>
          <cell r="D112">
            <v>9</v>
          </cell>
          <cell r="E112">
            <v>0.09</v>
          </cell>
          <cell r="F112">
            <v>9</v>
          </cell>
        </row>
        <row r="113">
          <cell r="A113">
            <v>1125</v>
          </cell>
          <cell r="B113" t="str">
            <v>Roof tiles</v>
          </cell>
          <cell r="C113" t="str">
            <v>Nr</v>
          </cell>
          <cell r="D113">
            <v>35</v>
          </cell>
          <cell r="E113">
            <v>0.35</v>
          </cell>
          <cell r="F113">
            <v>35.5</v>
          </cell>
        </row>
        <row r="114">
          <cell r="A114">
            <v>1126</v>
          </cell>
          <cell r="B114" t="str">
            <v>Ridge tiles</v>
          </cell>
          <cell r="C114" t="str">
            <v>Nr</v>
          </cell>
          <cell r="D114">
            <v>45</v>
          </cell>
          <cell r="E114">
            <v>0.45</v>
          </cell>
          <cell r="F114">
            <v>45.5</v>
          </cell>
        </row>
        <row r="115">
          <cell r="A115">
            <v>1127</v>
          </cell>
          <cell r="B115" t="str">
            <v>5mm gusset plate</v>
          </cell>
          <cell r="C115" t="str">
            <v>m2</v>
          </cell>
          <cell r="D115">
            <v>4485</v>
          </cell>
          <cell r="E115">
            <v>44.85</v>
          </cell>
          <cell r="F115">
            <v>4530</v>
          </cell>
        </row>
        <row r="116">
          <cell r="A116">
            <v>1128</v>
          </cell>
          <cell r="B116" t="str">
            <v>Zink Alluminium ridge capping  of girth 470mm</v>
          </cell>
          <cell r="C116" t="str">
            <v>m</v>
          </cell>
          <cell r="D116">
            <v>591</v>
          </cell>
          <cell r="E116">
            <v>5.91</v>
          </cell>
          <cell r="F116">
            <v>597</v>
          </cell>
        </row>
        <row r="117">
          <cell r="A117">
            <v>1129</v>
          </cell>
          <cell r="B117" t="str">
            <v>Asbestos ridges</v>
          </cell>
          <cell r="C117" t="str">
            <v>Set</v>
          </cell>
          <cell r="D117">
            <v>600</v>
          </cell>
          <cell r="E117">
            <v>6</v>
          </cell>
          <cell r="F117">
            <v>606</v>
          </cell>
        </row>
        <row r="118">
          <cell r="A118">
            <v>1130</v>
          </cell>
          <cell r="B118" t="str">
            <v>Lime</v>
          </cell>
          <cell r="C118" t="str">
            <v>kg</v>
          </cell>
          <cell r="D118">
            <v>20</v>
          </cell>
          <cell r="E118">
            <v>0.2</v>
          </cell>
          <cell r="F118">
            <v>20.5</v>
          </cell>
        </row>
        <row r="119">
          <cell r="A119">
            <v>1131</v>
          </cell>
          <cell r="B119" t="str">
            <v>Aluminium foil as heat insulation</v>
          </cell>
          <cell r="C119" t="str">
            <v>m2</v>
          </cell>
          <cell r="D119">
            <v>133</v>
          </cell>
          <cell r="E119">
            <v>1.33</v>
          </cell>
          <cell r="F119">
            <v>134.5</v>
          </cell>
        </row>
        <row r="120">
          <cell r="A120">
            <v>1132</v>
          </cell>
          <cell r="B120" t="str">
            <v>Mesh for foil ( 2"x2")</v>
          </cell>
          <cell r="C120" t="str">
            <v>m2</v>
          </cell>
          <cell r="D120">
            <v>454.9</v>
          </cell>
          <cell r="E120">
            <v>4.55</v>
          </cell>
          <cell r="F120">
            <v>459.5</v>
          </cell>
        </row>
        <row r="121">
          <cell r="A121">
            <v>1133</v>
          </cell>
          <cell r="B121" t="str">
            <v>10mm gusset plate</v>
          </cell>
          <cell r="C121" t="str">
            <v>m2</v>
          </cell>
          <cell r="D121">
            <v>8970</v>
          </cell>
          <cell r="E121">
            <v>89.7</v>
          </cell>
          <cell r="F121">
            <v>9059.5</v>
          </cell>
        </row>
        <row r="122">
          <cell r="A122">
            <v>1134</v>
          </cell>
          <cell r="B122" t="str">
            <v>Truss plate, base plate</v>
          </cell>
          <cell r="C122" t="str">
            <v>m2</v>
          </cell>
          <cell r="D122">
            <v>4300</v>
          </cell>
          <cell r="E122">
            <v>43</v>
          </cell>
          <cell r="F122">
            <v>4343</v>
          </cell>
        </row>
        <row r="123">
          <cell r="B123" t="str">
            <v>Carpenter and Joiner</v>
          </cell>
        </row>
        <row r="124">
          <cell r="A124">
            <v>1201</v>
          </cell>
          <cell r="B124" t="str">
            <v>31mm planks special class</v>
          </cell>
          <cell r="C124" t="str">
            <v>m2</v>
          </cell>
          <cell r="D124">
            <v>1841</v>
          </cell>
          <cell r="E124">
            <v>18.41</v>
          </cell>
          <cell r="F124">
            <v>1859.5</v>
          </cell>
        </row>
        <row r="125">
          <cell r="A125">
            <v>1202</v>
          </cell>
          <cell r="B125" t="str">
            <v>25mm planks special class</v>
          </cell>
          <cell r="C125" t="str">
            <v>m2</v>
          </cell>
          <cell r="D125">
            <v>1476.66</v>
          </cell>
          <cell r="E125">
            <v>14.77</v>
          </cell>
          <cell r="F125">
            <v>1491.5</v>
          </cell>
        </row>
        <row r="126">
          <cell r="A126">
            <v>1203</v>
          </cell>
          <cell r="B126" t="str">
            <v>20mm planks special class</v>
          </cell>
          <cell r="C126" t="str">
            <v>m2</v>
          </cell>
          <cell r="D126">
            <v>1181.32</v>
          </cell>
          <cell r="E126">
            <v>11.81</v>
          </cell>
          <cell r="F126">
            <v>1193</v>
          </cell>
        </row>
        <row r="127">
          <cell r="A127">
            <v>1204</v>
          </cell>
          <cell r="B127" t="str">
            <v>20mm thick lunumidella timber</v>
          </cell>
          <cell r="C127" t="str">
            <v>m2</v>
          </cell>
          <cell r="D127">
            <v>700</v>
          </cell>
          <cell r="E127">
            <v>7</v>
          </cell>
          <cell r="F127">
            <v>707</v>
          </cell>
        </row>
        <row r="128">
          <cell r="A128">
            <v>1205</v>
          </cell>
          <cell r="B128" t="str">
            <v>50mm iron screws</v>
          </cell>
          <cell r="C128" t="str">
            <v>Nr</v>
          </cell>
          <cell r="D128">
            <v>2</v>
          </cell>
          <cell r="E128">
            <v>0.02</v>
          </cell>
          <cell r="F128">
            <v>2</v>
          </cell>
        </row>
        <row r="129">
          <cell r="A129">
            <v>1206</v>
          </cell>
          <cell r="B129" t="str">
            <v>G.I. clout nails 20mm</v>
          </cell>
          <cell r="C129" t="str">
            <v>kg</v>
          </cell>
          <cell r="D129">
            <v>300</v>
          </cell>
          <cell r="E129">
            <v>3</v>
          </cell>
          <cell r="F129">
            <v>303</v>
          </cell>
        </row>
        <row r="130">
          <cell r="A130">
            <v>1207</v>
          </cell>
          <cell r="B130" t="str">
            <v>Ceiling sheets</v>
          </cell>
          <cell r="C130" t="str">
            <v>m2</v>
          </cell>
          <cell r="D130">
            <v>263</v>
          </cell>
          <cell r="E130">
            <v>2.63</v>
          </cell>
          <cell r="F130">
            <v>265.5</v>
          </cell>
        </row>
        <row r="131">
          <cell r="A131">
            <v>1208</v>
          </cell>
          <cell r="B131"/>
          <cell r="C131" t="str">
            <v>m</v>
          </cell>
          <cell r="D131">
            <v>49</v>
          </cell>
          <cell r="E131">
            <v>0.49</v>
          </cell>
          <cell r="F131">
            <v>49.5</v>
          </cell>
        </row>
        <row r="132">
          <cell r="A132">
            <v>1209</v>
          </cell>
          <cell r="B132" t="str">
            <v>Moldings</v>
          </cell>
          <cell r="C132" t="str">
            <v>m</v>
          </cell>
          <cell r="D132">
            <v>117</v>
          </cell>
          <cell r="E132">
            <v>1.17</v>
          </cell>
          <cell r="F132">
            <v>118.17</v>
          </cell>
        </row>
        <row r="133">
          <cell r="A133">
            <v>1210</v>
          </cell>
          <cell r="B133" t="str">
            <v>Screws 38mm</v>
          </cell>
          <cell r="C133" t="str">
            <v>Nr</v>
          </cell>
          <cell r="D133">
            <v>1.5</v>
          </cell>
          <cell r="E133">
            <v>0.02</v>
          </cell>
          <cell r="F133">
            <v>1.5</v>
          </cell>
        </row>
        <row r="134">
          <cell r="A134">
            <v>1211</v>
          </cell>
          <cell r="B134" t="str">
            <v>Wooden plugs</v>
          </cell>
          <cell r="C134" t="str">
            <v>Nr</v>
          </cell>
          <cell r="D134">
            <v>5</v>
          </cell>
          <cell r="E134">
            <v>0.05</v>
          </cell>
          <cell r="F134">
            <v>5</v>
          </cell>
        </row>
        <row r="135">
          <cell r="A135">
            <v>1212</v>
          </cell>
          <cell r="B135" t="str">
            <v>Primer</v>
          </cell>
          <cell r="C135" t="str">
            <v>l</v>
          </cell>
          <cell r="D135">
            <v>320</v>
          </cell>
          <cell r="E135">
            <v>3.2</v>
          </cell>
          <cell r="F135">
            <v>323</v>
          </cell>
        </row>
        <row r="136">
          <cell r="A136">
            <v>1213</v>
          </cell>
          <cell r="B136" t="str">
            <v>Emulsion paint</v>
          </cell>
          <cell r="C136" t="str">
            <v>l</v>
          </cell>
          <cell r="D136">
            <v>648</v>
          </cell>
          <cell r="E136">
            <v>6.48</v>
          </cell>
          <cell r="F136">
            <v>654.5</v>
          </cell>
        </row>
        <row r="137">
          <cell r="A137">
            <v>1214</v>
          </cell>
          <cell r="B137" t="str">
            <v>100x75 door/ window frame</v>
          </cell>
          <cell r="C137" t="str">
            <v>m3</v>
          </cell>
          <cell r="D137">
            <v>75987</v>
          </cell>
          <cell r="E137">
            <v>759.87</v>
          </cell>
          <cell r="F137">
            <v>76747</v>
          </cell>
        </row>
        <row r="138">
          <cell r="A138">
            <v>1215</v>
          </cell>
          <cell r="B138" t="str">
            <v>38mm brass screws</v>
          </cell>
          <cell r="C138" t="str">
            <v>Nr</v>
          </cell>
          <cell r="D138">
            <v>5.5</v>
          </cell>
          <cell r="E138">
            <v>0.06</v>
          </cell>
          <cell r="F138">
            <v>5.5</v>
          </cell>
        </row>
        <row r="139">
          <cell r="A139">
            <v>1216</v>
          </cell>
          <cell r="B139" t="str">
            <v>25mm brass screws</v>
          </cell>
          <cell r="C139" t="str">
            <v>Nr</v>
          </cell>
          <cell r="D139">
            <v>3.5</v>
          </cell>
          <cell r="E139">
            <v>0.04</v>
          </cell>
          <cell r="F139">
            <v>3.5</v>
          </cell>
        </row>
        <row r="140">
          <cell r="A140">
            <v>1217</v>
          </cell>
          <cell r="B140" t="str">
            <v>Rawl plugs and screws</v>
          </cell>
          <cell r="C140" t="str">
            <v>Nr</v>
          </cell>
          <cell r="D140">
            <v>2</v>
          </cell>
          <cell r="E140">
            <v>0.02</v>
          </cell>
          <cell r="F140">
            <v>2</v>
          </cell>
        </row>
        <row r="141">
          <cell r="A141">
            <v>1218</v>
          </cell>
          <cell r="B141" t="str">
            <v>100mm brass hinges</v>
          </cell>
          <cell r="C141" t="str">
            <v>pair</v>
          </cell>
          <cell r="D141">
            <v>375</v>
          </cell>
          <cell r="E141">
            <v>3.75</v>
          </cell>
          <cell r="F141">
            <v>379</v>
          </cell>
        </row>
        <row r="142">
          <cell r="A142">
            <v>1219</v>
          </cell>
          <cell r="B142" t="str">
            <v>12x12mm fillets</v>
          </cell>
          <cell r="C142" t="str">
            <v>m</v>
          </cell>
          <cell r="D142">
            <v>5.5</v>
          </cell>
          <cell r="E142">
            <v>0.06</v>
          </cell>
          <cell r="F142">
            <v>5.5</v>
          </cell>
        </row>
        <row r="143">
          <cell r="A143">
            <v>1220</v>
          </cell>
          <cell r="B143" t="str">
            <v>300mm skeleton bolts</v>
          </cell>
          <cell r="C143" t="str">
            <v>Nr</v>
          </cell>
          <cell r="D143">
            <v>78</v>
          </cell>
          <cell r="E143">
            <v>0.78</v>
          </cell>
          <cell r="F143">
            <v>79</v>
          </cell>
        </row>
        <row r="144">
          <cell r="A144">
            <v>1221</v>
          </cell>
          <cell r="B144" t="str">
            <v>38x38mm sash bars</v>
          </cell>
          <cell r="C144" t="str">
            <v>m</v>
          </cell>
          <cell r="D144">
            <v>16</v>
          </cell>
          <cell r="E144">
            <v>0.16</v>
          </cell>
          <cell r="F144">
            <v>16.5</v>
          </cell>
        </row>
        <row r="145">
          <cell r="A145">
            <v>1222</v>
          </cell>
          <cell r="B145" t="str">
            <v>150mm barrel bolts</v>
          </cell>
          <cell r="C145" t="str">
            <v>Nr</v>
          </cell>
          <cell r="D145">
            <v>156</v>
          </cell>
          <cell r="E145">
            <v>1.56</v>
          </cell>
          <cell r="F145">
            <v>157.5</v>
          </cell>
        </row>
        <row r="146">
          <cell r="A146">
            <v>1223</v>
          </cell>
          <cell r="B146" t="str">
            <v>Plywood door sash</v>
          </cell>
          <cell r="C146" t="str">
            <v>Nr</v>
          </cell>
          <cell r="D146">
            <v>2200</v>
          </cell>
          <cell r="E146">
            <v>22</v>
          </cell>
          <cell r="F146">
            <v>2222</v>
          </cell>
        </row>
        <row r="147">
          <cell r="A147">
            <v>1224</v>
          </cell>
          <cell r="B147" t="str">
            <v>Holdfasts</v>
          </cell>
          <cell r="C147" t="str">
            <v>Nr</v>
          </cell>
          <cell r="D147">
            <v>75</v>
          </cell>
          <cell r="E147">
            <v>0.75</v>
          </cell>
          <cell r="F147">
            <v>76</v>
          </cell>
        </row>
        <row r="148">
          <cell r="A148">
            <v>1225</v>
          </cell>
          <cell r="B148" t="str">
            <v>PVC door with frame</v>
          </cell>
          <cell r="C148" t="str">
            <v>Nr</v>
          </cell>
          <cell r="D148">
            <v>4650</v>
          </cell>
          <cell r="E148">
            <v>46.5</v>
          </cell>
          <cell r="F148">
            <v>4696.5</v>
          </cell>
        </row>
        <row r="149">
          <cell r="A149">
            <v>1226</v>
          </cell>
          <cell r="B149" t="str">
            <v>3mm glass plain</v>
          </cell>
          <cell r="C149" t="str">
            <v>m2</v>
          </cell>
          <cell r="D149">
            <v>645</v>
          </cell>
          <cell r="E149">
            <v>6.45</v>
          </cell>
          <cell r="F149">
            <v>651.5</v>
          </cell>
        </row>
        <row r="150">
          <cell r="A150">
            <v>1227</v>
          </cell>
          <cell r="B150" t="str">
            <v>Casement stays</v>
          </cell>
          <cell r="C150" t="str">
            <v>Nr</v>
          </cell>
          <cell r="D150">
            <v>200</v>
          </cell>
          <cell r="E150">
            <v>2</v>
          </cell>
          <cell r="F150">
            <v>202</v>
          </cell>
        </row>
        <row r="151">
          <cell r="A151">
            <v>1228</v>
          </cell>
          <cell r="B151" t="str">
            <v>Casement fasteners</v>
          </cell>
          <cell r="C151" t="str">
            <v>Nr</v>
          </cell>
          <cell r="D151">
            <v>200</v>
          </cell>
          <cell r="E151">
            <v>2</v>
          </cell>
          <cell r="F151">
            <v>202</v>
          </cell>
        </row>
        <row r="152">
          <cell r="A152">
            <v>1229</v>
          </cell>
          <cell r="B152" t="str">
            <v>Class 11 Ginisapu planks 25mm thick</v>
          </cell>
          <cell r="C152" t="str">
            <v>m2</v>
          </cell>
          <cell r="D152">
            <v>1385</v>
          </cell>
          <cell r="E152">
            <v>13.85</v>
          </cell>
          <cell r="F152">
            <v>1399</v>
          </cell>
        </row>
        <row r="153">
          <cell r="A153">
            <v>1230</v>
          </cell>
          <cell r="B153" t="str">
            <v>Brass screw</v>
          </cell>
          <cell r="C153" t="str">
            <v>Nr</v>
          </cell>
          <cell r="D153">
            <v>5.5</v>
          </cell>
          <cell r="E153">
            <v>0.06</v>
          </cell>
          <cell r="F153">
            <v>5.5</v>
          </cell>
        </row>
        <row r="154">
          <cell r="A154">
            <v>1231</v>
          </cell>
          <cell r="B154" t="str">
            <v>Lunumidella timber</v>
          </cell>
          <cell r="C154" t="str">
            <v>m2</v>
          </cell>
          <cell r="D154">
            <v>700</v>
          </cell>
          <cell r="E154">
            <v>7</v>
          </cell>
          <cell r="F154">
            <v>707</v>
          </cell>
        </row>
        <row r="155">
          <cell r="A155">
            <v>1232</v>
          </cell>
          <cell r="B155" t="str">
            <v>12 mm thick flywood sheet</v>
          </cell>
          <cell r="C155" t="str">
            <v>m2</v>
          </cell>
          <cell r="D155">
            <v>875</v>
          </cell>
          <cell r="E155">
            <v>8.75</v>
          </cell>
          <cell r="F155">
            <v>884</v>
          </cell>
        </row>
        <row r="156">
          <cell r="A156">
            <v>1233</v>
          </cell>
          <cell r="B156" t="str">
            <v>G.I. clout nails 38mm</v>
          </cell>
          <cell r="C156" t="str">
            <v>Kg</v>
          </cell>
          <cell r="D156">
            <v>336</v>
          </cell>
          <cell r="E156">
            <v>3.36</v>
          </cell>
          <cell r="F156">
            <v>339.5</v>
          </cell>
        </row>
        <row r="157">
          <cell r="A157">
            <v>1234</v>
          </cell>
          <cell r="B157" t="str">
            <v>31mm planks class 1</v>
          </cell>
          <cell r="C157" t="str">
            <v>m2</v>
          </cell>
          <cell r="D157">
            <v>1440</v>
          </cell>
          <cell r="E157">
            <v>14.4</v>
          </cell>
          <cell r="F157">
            <v>1454.5</v>
          </cell>
        </row>
        <row r="158">
          <cell r="B158" t="str">
            <v>Brass Founder</v>
          </cell>
        </row>
        <row r="159">
          <cell r="A159">
            <v>1301</v>
          </cell>
          <cell r="B159" t="str">
            <v>Night latch lock</v>
          </cell>
          <cell r="C159" t="str">
            <v>Nr</v>
          </cell>
          <cell r="D159">
            <v>600</v>
          </cell>
          <cell r="E159">
            <v>6</v>
          </cell>
          <cell r="F159">
            <v>606</v>
          </cell>
        </row>
        <row r="160">
          <cell r="A160">
            <v>1302</v>
          </cell>
          <cell r="B160" t="str">
            <v>Mortise Union (English) single lock</v>
          </cell>
          <cell r="C160" t="str">
            <v>Nr</v>
          </cell>
          <cell r="E160">
            <v>0</v>
          </cell>
          <cell r="F160">
            <v>0</v>
          </cell>
        </row>
        <row r="161">
          <cell r="A161">
            <v>1303</v>
          </cell>
          <cell r="B161" t="str">
            <v>Mortise Union (English) double lock</v>
          </cell>
          <cell r="C161" t="str">
            <v>Nr</v>
          </cell>
          <cell r="E161">
            <v>0</v>
          </cell>
          <cell r="F161">
            <v>0</v>
          </cell>
        </row>
        <row r="162">
          <cell r="A162">
            <v>1304</v>
          </cell>
          <cell r="B162" t="str">
            <v>Robin ITALY made brass lock</v>
          </cell>
          <cell r="C162" t="str">
            <v>Nr</v>
          </cell>
          <cell r="E162">
            <v>0</v>
          </cell>
          <cell r="F162">
            <v>0</v>
          </cell>
        </row>
        <row r="163">
          <cell r="A163">
            <v>1305</v>
          </cell>
          <cell r="B163" t="str">
            <v>Fuda lock</v>
          </cell>
          <cell r="C163" t="str">
            <v>Nr</v>
          </cell>
          <cell r="E163">
            <v>0</v>
          </cell>
          <cell r="F163">
            <v>0</v>
          </cell>
        </row>
        <row r="164">
          <cell r="A164">
            <v>1306</v>
          </cell>
          <cell r="B164" t="str">
            <v>50mm barrel bolt (Brass)</v>
          </cell>
          <cell r="C164" t="str">
            <v>Nr</v>
          </cell>
          <cell r="D164">
            <v>65</v>
          </cell>
          <cell r="E164">
            <v>0.65</v>
          </cell>
          <cell r="F164">
            <v>65.650000000000006</v>
          </cell>
        </row>
        <row r="165">
          <cell r="A165">
            <v>1307</v>
          </cell>
          <cell r="B165" t="str">
            <v>100x100mm butt hinges</v>
          </cell>
          <cell r="C165" t="str">
            <v>Nr</v>
          </cell>
          <cell r="D165">
            <v>300</v>
          </cell>
          <cell r="E165">
            <v>3</v>
          </cell>
          <cell r="F165">
            <v>303</v>
          </cell>
        </row>
        <row r="166">
          <cell r="A166">
            <v>1308</v>
          </cell>
          <cell r="B166" t="str">
            <v>150x100mm butt hinges</v>
          </cell>
          <cell r="C166" t="str">
            <v>Nr</v>
          </cell>
          <cell r="D166">
            <v>475</v>
          </cell>
          <cell r="E166">
            <v>4.75</v>
          </cell>
          <cell r="F166">
            <v>479.75</v>
          </cell>
        </row>
        <row r="167">
          <cell r="A167">
            <v>1309</v>
          </cell>
          <cell r="B167" t="str">
            <v>100mm barrel bolt (Brass)</v>
          </cell>
          <cell r="C167" t="str">
            <v>Nr</v>
          </cell>
          <cell r="D167">
            <v>150</v>
          </cell>
          <cell r="E167">
            <v>1.5</v>
          </cell>
          <cell r="F167">
            <v>151.5</v>
          </cell>
        </row>
        <row r="168">
          <cell r="A168">
            <v>1310</v>
          </cell>
          <cell r="B168" t="str">
            <v>150mm barrel bolt (Brass)</v>
          </cell>
          <cell r="C168" t="str">
            <v>Nr</v>
          </cell>
          <cell r="D168">
            <v>350</v>
          </cell>
          <cell r="E168">
            <v>3.5</v>
          </cell>
          <cell r="F168">
            <v>353.5</v>
          </cell>
        </row>
        <row r="169">
          <cell r="B169" t="str">
            <v>Iron Monger</v>
          </cell>
          <cell r="F169">
            <v>0</v>
          </cell>
        </row>
        <row r="170">
          <cell r="A170">
            <v>1401</v>
          </cell>
          <cell r="B170" t="str">
            <v>50x50 G.I. welded mesh</v>
          </cell>
          <cell r="C170" t="str">
            <v>m2</v>
          </cell>
          <cell r="D170">
            <v>454</v>
          </cell>
          <cell r="E170">
            <v>4.54</v>
          </cell>
          <cell r="F170">
            <v>458.5</v>
          </cell>
        </row>
        <row r="171">
          <cell r="A171">
            <v>1402</v>
          </cell>
          <cell r="B171" t="str">
            <v>50x12mm beadings</v>
          </cell>
          <cell r="C171" t="str">
            <v>m</v>
          </cell>
          <cell r="D171">
            <v>50</v>
          </cell>
          <cell r="E171">
            <v>0.5</v>
          </cell>
          <cell r="F171">
            <v>50.5</v>
          </cell>
        </row>
        <row r="172">
          <cell r="A172">
            <v>1403</v>
          </cell>
          <cell r="B172" t="str">
            <v>5.5mm MS rods</v>
          </cell>
          <cell r="C172" t="str">
            <v>kg</v>
          </cell>
          <cell r="D172">
            <v>100</v>
          </cell>
          <cell r="E172">
            <v>1</v>
          </cell>
          <cell r="F172">
            <v>101</v>
          </cell>
        </row>
        <row r="173">
          <cell r="A173">
            <v>1404</v>
          </cell>
          <cell r="B173" t="str">
            <v>12x5mm flat iron</v>
          </cell>
          <cell r="C173" t="str">
            <v>m</v>
          </cell>
          <cell r="D173">
            <v>27</v>
          </cell>
          <cell r="E173">
            <v>0.27</v>
          </cell>
          <cell r="F173">
            <v>27.5</v>
          </cell>
        </row>
        <row r="174">
          <cell r="A174">
            <v>1405</v>
          </cell>
          <cell r="B174" t="str">
            <v>25x25x4mm angle iron</v>
          </cell>
          <cell r="C174" t="str">
            <v>m</v>
          </cell>
          <cell r="D174">
            <v>146</v>
          </cell>
          <cell r="E174">
            <v>1.46</v>
          </cell>
          <cell r="F174">
            <v>147.5</v>
          </cell>
        </row>
        <row r="175">
          <cell r="A175">
            <v>1406</v>
          </cell>
          <cell r="B175" t="str">
            <v>100mm safety type Hasp and Staple</v>
          </cell>
          <cell r="C175" t="str">
            <v>Nr</v>
          </cell>
          <cell r="D175">
            <v>150</v>
          </cell>
          <cell r="E175">
            <v>1.5</v>
          </cell>
          <cell r="F175">
            <v>151.5</v>
          </cell>
        </row>
        <row r="176">
          <cell r="A176">
            <v>1407</v>
          </cell>
          <cell r="B176" t="str">
            <v>150mm safety type Hasp and Staple</v>
          </cell>
          <cell r="C176" t="str">
            <v>Nr</v>
          </cell>
          <cell r="D176">
            <v>175</v>
          </cell>
          <cell r="E176">
            <v>1.75</v>
          </cell>
          <cell r="F176">
            <v>177</v>
          </cell>
        </row>
        <row r="177">
          <cell r="A177">
            <v>1408</v>
          </cell>
          <cell r="B177" t="str">
            <v>100x100mm butt hinges</v>
          </cell>
          <cell r="C177" t="str">
            <v>Nr</v>
          </cell>
          <cell r="D177">
            <v>300</v>
          </cell>
          <cell r="E177">
            <v>3</v>
          </cell>
          <cell r="F177">
            <v>303</v>
          </cell>
        </row>
        <row r="178">
          <cell r="A178">
            <v>1409</v>
          </cell>
          <cell r="B178" t="str">
            <v>150x100mm butt hinges</v>
          </cell>
          <cell r="C178" t="str">
            <v>Nr</v>
          </cell>
          <cell r="D178">
            <v>475</v>
          </cell>
          <cell r="E178">
            <v>4.75</v>
          </cell>
          <cell r="F178">
            <v>480</v>
          </cell>
        </row>
        <row r="179">
          <cell r="A179">
            <v>1410</v>
          </cell>
          <cell r="B179" t="str">
            <v>37x37x5.8 mm angle iron</v>
          </cell>
          <cell r="C179" t="str">
            <v>m</v>
          </cell>
          <cell r="D179">
            <v>368</v>
          </cell>
          <cell r="E179">
            <v>3.68</v>
          </cell>
          <cell r="F179">
            <v>371.5</v>
          </cell>
        </row>
        <row r="180">
          <cell r="A180">
            <v>1411</v>
          </cell>
          <cell r="B180" t="str">
            <v>25x25x5 mm angle iron</v>
          </cell>
          <cell r="C180" t="str">
            <v>m</v>
          </cell>
          <cell r="D180">
            <v>187</v>
          </cell>
          <cell r="E180">
            <v>1.87</v>
          </cell>
          <cell r="F180">
            <v>189</v>
          </cell>
        </row>
        <row r="181">
          <cell r="A181">
            <v>1412</v>
          </cell>
          <cell r="B181" t="str">
            <v>25x5mm flat iron</v>
          </cell>
          <cell r="C181" t="str">
            <v>m</v>
          </cell>
          <cell r="D181">
            <v>103</v>
          </cell>
          <cell r="E181">
            <v>1.03</v>
          </cell>
          <cell r="F181">
            <v>104</v>
          </cell>
        </row>
        <row r="182">
          <cell r="A182">
            <v>1413</v>
          </cell>
          <cell r="B182" t="str">
            <v>6mm mild steel hook</v>
          </cell>
          <cell r="C182" t="str">
            <v>Nr</v>
          </cell>
          <cell r="D182">
            <v>50</v>
          </cell>
          <cell r="E182">
            <v>0.5</v>
          </cell>
          <cell r="F182">
            <v>50.5</v>
          </cell>
        </row>
        <row r="183">
          <cell r="B183" t="str">
            <v>Aluminium Extrusions (Natural Anodized)</v>
          </cell>
        </row>
        <row r="184">
          <cell r="A184">
            <v>1501</v>
          </cell>
          <cell r="B184" t="str">
            <v>70S-1101-1 (NA)</v>
          </cell>
          <cell r="C184" t="str">
            <v>m</v>
          </cell>
          <cell r="D184">
            <v>450.61</v>
          </cell>
          <cell r="E184">
            <v>4.51</v>
          </cell>
          <cell r="F184">
            <v>455</v>
          </cell>
        </row>
        <row r="185">
          <cell r="A185">
            <v>1502</v>
          </cell>
          <cell r="B185" t="str">
            <v>70S-1001-1 (NA)</v>
          </cell>
          <cell r="C185" t="str">
            <v>m</v>
          </cell>
          <cell r="D185">
            <v>461.07</v>
          </cell>
          <cell r="E185">
            <v>4.6100000000000003</v>
          </cell>
          <cell r="F185">
            <v>465.5</v>
          </cell>
        </row>
        <row r="186">
          <cell r="A186">
            <v>1503</v>
          </cell>
          <cell r="B186" t="str">
            <v>70S-1201-1 (NA)</v>
          </cell>
          <cell r="C186" t="str">
            <v>m</v>
          </cell>
          <cell r="D186">
            <v>375.07</v>
          </cell>
          <cell r="E186">
            <v>3.75</v>
          </cell>
          <cell r="F186">
            <v>378</v>
          </cell>
        </row>
        <row r="187">
          <cell r="A187">
            <v>1504</v>
          </cell>
          <cell r="B187" t="str">
            <v>70S-1604 (NA)</v>
          </cell>
          <cell r="C187" t="str">
            <v>m</v>
          </cell>
          <cell r="D187">
            <v>367.07</v>
          </cell>
          <cell r="E187">
            <v>3.67</v>
          </cell>
          <cell r="F187">
            <v>371</v>
          </cell>
        </row>
        <row r="188">
          <cell r="A188">
            <v>1505</v>
          </cell>
          <cell r="B188" t="str">
            <v>70S-1704 (NA)</v>
          </cell>
          <cell r="C188" t="str">
            <v>m</v>
          </cell>
          <cell r="D188">
            <v>346.61</v>
          </cell>
          <cell r="E188">
            <v>3.47</v>
          </cell>
          <cell r="F188">
            <v>350</v>
          </cell>
        </row>
        <row r="189">
          <cell r="A189">
            <v>1506</v>
          </cell>
          <cell r="B189" t="str">
            <v>70S-1503A (NA)</v>
          </cell>
          <cell r="C189" t="str">
            <v>m</v>
          </cell>
          <cell r="D189">
            <v>433.38</v>
          </cell>
          <cell r="E189">
            <v>4.33</v>
          </cell>
          <cell r="F189">
            <v>438</v>
          </cell>
        </row>
        <row r="190">
          <cell r="A190">
            <v>1507</v>
          </cell>
          <cell r="B190" t="str">
            <v>70S-1401-1 (NA)</v>
          </cell>
          <cell r="C190" t="str">
            <v>m</v>
          </cell>
          <cell r="D190">
            <v>306.76</v>
          </cell>
          <cell r="E190">
            <v>3.07</v>
          </cell>
          <cell r="F190">
            <v>310</v>
          </cell>
        </row>
        <row r="191">
          <cell r="A191">
            <v>1508</v>
          </cell>
          <cell r="B191" t="str">
            <v>70SF-1006 (NA)</v>
          </cell>
          <cell r="C191" t="str">
            <v>m</v>
          </cell>
          <cell r="D191">
            <v>727.23</v>
          </cell>
          <cell r="E191">
            <v>7.27</v>
          </cell>
          <cell r="F191">
            <v>734.5</v>
          </cell>
        </row>
        <row r="192">
          <cell r="A192">
            <v>1509</v>
          </cell>
          <cell r="B192" t="str">
            <v>70SF-1201A (NA)</v>
          </cell>
          <cell r="C192" t="str">
            <v>m</v>
          </cell>
          <cell r="D192">
            <v>254</v>
          </cell>
          <cell r="E192">
            <v>2.54</v>
          </cell>
          <cell r="F192">
            <v>256.5</v>
          </cell>
        </row>
        <row r="193">
          <cell r="A193">
            <v>1510</v>
          </cell>
          <cell r="B193" t="str">
            <v>70SF-1201B (NA)</v>
          </cell>
          <cell r="C193" t="str">
            <v>m</v>
          </cell>
          <cell r="D193">
            <v>254</v>
          </cell>
          <cell r="E193">
            <v>2.54</v>
          </cell>
          <cell r="F193">
            <v>256.5</v>
          </cell>
        </row>
        <row r="194">
          <cell r="A194">
            <v>1511</v>
          </cell>
          <cell r="B194" t="str">
            <v>DG-02 (NA)</v>
          </cell>
          <cell r="C194" t="str">
            <v>m</v>
          </cell>
          <cell r="D194">
            <v>229.18</v>
          </cell>
          <cell r="E194">
            <v>2.29</v>
          </cell>
          <cell r="F194">
            <v>231.5</v>
          </cell>
        </row>
        <row r="195">
          <cell r="A195">
            <v>1512</v>
          </cell>
          <cell r="B195" t="str">
            <v>DG-102 (NA)</v>
          </cell>
          <cell r="C195" t="str">
            <v>m</v>
          </cell>
          <cell r="D195">
            <v>204.91</v>
          </cell>
          <cell r="E195">
            <v>2.0499999999999998</v>
          </cell>
          <cell r="F195">
            <v>207</v>
          </cell>
        </row>
        <row r="196">
          <cell r="A196">
            <v>1513</v>
          </cell>
          <cell r="B196" t="str">
            <v>CA-1001(NA)</v>
          </cell>
          <cell r="C196" t="str">
            <v>m</v>
          </cell>
          <cell r="D196">
            <v>569.01</v>
          </cell>
          <cell r="E196">
            <v>5.69</v>
          </cell>
          <cell r="F196">
            <v>574.5</v>
          </cell>
        </row>
        <row r="197">
          <cell r="A197">
            <v>1514</v>
          </cell>
          <cell r="B197" t="str">
            <v>CA-1002 (NA)</v>
          </cell>
          <cell r="C197" t="str">
            <v>m</v>
          </cell>
          <cell r="D197">
            <v>889.34</v>
          </cell>
          <cell r="E197">
            <v>8.89</v>
          </cell>
          <cell r="F197">
            <v>898</v>
          </cell>
        </row>
        <row r="198">
          <cell r="A198">
            <v>1515</v>
          </cell>
          <cell r="B198" t="str">
            <v>100D-1914 (NA)</v>
          </cell>
          <cell r="C198" t="str">
            <v>m</v>
          </cell>
          <cell r="D198">
            <v>124.61</v>
          </cell>
          <cell r="E198">
            <v>1.25</v>
          </cell>
          <cell r="F198">
            <v>126</v>
          </cell>
        </row>
        <row r="199">
          <cell r="A199">
            <v>1516</v>
          </cell>
          <cell r="B199" t="str">
            <v>CA-1007 (NA)</v>
          </cell>
          <cell r="C199" t="str">
            <v>m</v>
          </cell>
          <cell r="D199">
            <v>255.24</v>
          </cell>
          <cell r="E199">
            <v>2.5499999999999998</v>
          </cell>
          <cell r="F199">
            <v>258</v>
          </cell>
        </row>
        <row r="200">
          <cell r="A200">
            <v>1517</v>
          </cell>
          <cell r="B200" t="str">
            <v>CA-1008 (NA)</v>
          </cell>
          <cell r="C200" t="str">
            <v>m</v>
          </cell>
          <cell r="D200">
            <v>433.28</v>
          </cell>
          <cell r="E200">
            <v>4.33</v>
          </cell>
          <cell r="F200">
            <v>437.5</v>
          </cell>
        </row>
        <row r="201">
          <cell r="A201">
            <v>1518</v>
          </cell>
          <cell r="B201" t="str">
            <v>CA-2005 (NA)</v>
          </cell>
          <cell r="C201" t="str">
            <v>m</v>
          </cell>
          <cell r="D201">
            <v>485.08</v>
          </cell>
          <cell r="E201">
            <v>4.8499999999999996</v>
          </cell>
          <cell r="F201">
            <v>490</v>
          </cell>
        </row>
        <row r="202">
          <cell r="A202">
            <v>1519</v>
          </cell>
          <cell r="B202" t="str">
            <v>A-111 (MF)</v>
          </cell>
          <cell r="C202" t="str">
            <v>m</v>
          </cell>
          <cell r="D202">
            <v>392.87</v>
          </cell>
          <cell r="E202">
            <v>3.93</v>
          </cell>
          <cell r="F202">
            <v>397</v>
          </cell>
        </row>
        <row r="203">
          <cell r="A203">
            <v>1520</v>
          </cell>
          <cell r="B203" t="str">
            <v>DG-01 (NA)</v>
          </cell>
          <cell r="C203" t="str">
            <v>m</v>
          </cell>
          <cell r="D203">
            <v>219.18</v>
          </cell>
          <cell r="E203">
            <v>2.19</v>
          </cell>
          <cell r="F203">
            <v>221.5</v>
          </cell>
        </row>
        <row r="204">
          <cell r="A204">
            <v>1521</v>
          </cell>
          <cell r="B204" t="str">
            <v>DG-101(NA)</v>
          </cell>
          <cell r="C204" t="str">
            <v>m</v>
          </cell>
          <cell r="D204">
            <v>189.01</v>
          </cell>
          <cell r="E204">
            <v>1.89</v>
          </cell>
          <cell r="F204">
            <v>191</v>
          </cell>
        </row>
        <row r="205">
          <cell r="A205">
            <v>1522</v>
          </cell>
          <cell r="B205" t="str">
            <v>CA-2004 (NA)</v>
          </cell>
          <cell r="C205" t="str">
            <v>m</v>
          </cell>
          <cell r="D205">
            <v>332.78</v>
          </cell>
          <cell r="E205">
            <v>3.33</v>
          </cell>
          <cell r="F205">
            <v>336</v>
          </cell>
        </row>
        <row r="206">
          <cell r="A206">
            <v>1523</v>
          </cell>
          <cell r="B206" t="str">
            <v>GL-107 (NA)</v>
          </cell>
          <cell r="C206" t="str">
            <v>m</v>
          </cell>
          <cell r="D206">
            <v>130.82</v>
          </cell>
          <cell r="E206">
            <v>1.31</v>
          </cell>
          <cell r="F206">
            <v>132</v>
          </cell>
        </row>
        <row r="207">
          <cell r="A207">
            <v>1524</v>
          </cell>
          <cell r="B207" t="str">
            <v>CA-1003 (NA)</v>
          </cell>
          <cell r="C207" t="str">
            <v>m</v>
          </cell>
          <cell r="D207">
            <v>352.13</v>
          </cell>
          <cell r="E207">
            <v>3.52</v>
          </cell>
          <cell r="F207">
            <v>355.5</v>
          </cell>
        </row>
        <row r="208">
          <cell r="A208">
            <v>1525</v>
          </cell>
          <cell r="B208" t="str">
            <v>CA-1004 (NA)</v>
          </cell>
          <cell r="C208" t="str">
            <v>m</v>
          </cell>
          <cell r="D208">
            <v>526.39</v>
          </cell>
          <cell r="E208">
            <v>5.26</v>
          </cell>
          <cell r="F208">
            <v>531.5</v>
          </cell>
        </row>
        <row r="209">
          <cell r="A209">
            <v>1526</v>
          </cell>
          <cell r="B209" t="str">
            <v>CA-2006 (NA)</v>
          </cell>
          <cell r="C209" t="str">
            <v>m</v>
          </cell>
          <cell r="D209">
            <v>491.13</v>
          </cell>
          <cell r="E209">
            <v>4.91</v>
          </cell>
          <cell r="F209">
            <v>496</v>
          </cell>
        </row>
        <row r="210">
          <cell r="A210">
            <v>1527</v>
          </cell>
          <cell r="B210" t="str">
            <v>DG-02 (NA)</v>
          </cell>
          <cell r="C210" t="str">
            <v>m</v>
          </cell>
          <cell r="D210">
            <v>229.18</v>
          </cell>
          <cell r="E210">
            <v>2.29</v>
          </cell>
          <cell r="F210">
            <v>231.5</v>
          </cell>
        </row>
        <row r="211">
          <cell r="A211">
            <v>1528</v>
          </cell>
          <cell r="B211" t="str">
            <v>DG-102(NA)</v>
          </cell>
          <cell r="C211" t="str">
            <v>m</v>
          </cell>
          <cell r="D211">
            <v>204.91</v>
          </cell>
          <cell r="E211">
            <v>2.0499999999999998</v>
          </cell>
          <cell r="F211">
            <v>207</v>
          </cell>
        </row>
        <row r="212">
          <cell r="A212">
            <v>1529</v>
          </cell>
          <cell r="B212" t="str">
            <v>CA-1001 (NA)</v>
          </cell>
          <cell r="C212" t="str">
            <v>m</v>
          </cell>
          <cell r="D212">
            <v>569.01</v>
          </cell>
          <cell r="E212">
            <v>5.69</v>
          </cell>
          <cell r="F212">
            <v>574.5</v>
          </cell>
        </row>
        <row r="213">
          <cell r="A213">
            <v>1530</v>
          </cell>
          <cell r="B213" t="str">
            <v>CA-1002 (NA)</v>
          </cell>
          <cell r="C213" t="str">
            <v>m</v>
          </cell>
          <cell r="D213">
            <v>889.34</v>
          </cell>
          <cell r="E213">
            <v>8.89</v>
          </cell>
          <cell r="F213">
            <v>898</v>
          </cell>
        </row>
        <row r="214">
          <cell r="A214">
            <v>1531</v>
          </cell>
          <cell r="B214" t="str">
            <v>100D-3104 (NA)</v>
          </cell>
          <cell r="C214" t="str">
            <v>m</v>
          </cell>
          <cell r="D214">
            <v>602.61</v>
          </cell>
          <cell r="E214">
            <v>6.03</v>
          </cell>
          <cell r="F214">
            <v>608.5</v>
          </cell>
        </row>
        <row r="215">
          <cell r="A215">
            <v>1532</v>
          </cell>
          <cell r="B215" t="str">
            <v>100D-101 (NA)</v>
          </cell>
          <cell r="C215" t="str">
            <v>m</v>
          </cell>
          <cell r="D215">
            <v>823.23</v>
          </cell>
          <cell r="E215">
            <v>8.23</v>
          </cell>
          <cell r="F215">
            <v>831.5</v>
          </cell>
        </row>
        <row r="216">
          <cell r="A216">
            <v>1533</v>
          </cell>
          <cell r="B216" t="str">
            <v>100D-102 (NA)</v>
          </cell>
          <cell r="C216" t="str">
            <v>m</v>
          </cell>
          <cell r="D216">
            <v>862.3</v>
          </cell>
          <cell r="E216">
            <v>8.6199999999999992</v>
          </cell>
          <cell r="F216">
            <v>871</v>
          </cell>
        </row>
        <row r="217">
          <cell r="A217">
            <v>1534</v>
          </cell>
          <cell r="B217" t="str">
            <v>100D-201 (NA)</v>
          </cell>
          <cell r="C217" t="str">
            <v>m</v>
          </cell>
          <cell r="D217">
            <v>796.92</v>
          </cell>
          <cell r="E217">
            <v>7.97</v>
          </cell>
          <cell r="F217">
            <v>805</v>
          </cell>
        </row>
        <row r="218">
          <cell r="A218">
            <v>1535</v>
          </cell>
          <cell r="B218" t="str">
            <v>100D-301 (NA)</v>
          </cell>
          <cell r="C218" t="str">
            <v>m</v>
          </cell>
          <cell r="D218">
            <v>946.61</v>
          </cell>
          <cell r="E218">
            <v>9.4700000000000006</v>
          </cell>
          <cell r="F218">
            <v>956</v>
          </cell>
        </row>
        <row r="219">
          <cell r="A219">
            <v>1536</v>
          </cell>
          <cell r="B219" t="str">
            <v>100D-401 (NA)</v>
          </cell>
          <cell r="C219" t="str">
            <v>m</v>
          </cell>
          <cell r="D219">
            <v>1048.3</v>
          </cell>
          <cell r="E219">
            <v>10.48</v>
          </cell>
          <cell r="F219">
            <v>1059</v>
          </cell>
        </row>
        <row r="220">
          <cell r="A220">
            <v>1537</v>
          </cell>
          <cell r="B220" t="str">
            <v>100D-501 (NA)</v>
          </cell>
          <cell r="C220" t="str">
            <v>m</v>
          </cell>
          <cell r="D220">
            <v>112.15</v>
          </cell>
          <cell r="E220">
            <v>1.1200000000000001</v>
          </cell>
          <cell r="F220">
            <v>113.5</v>
          </cell>
        </row>
        <row r="221">
          <cell r="A221">
            <v>1538</v>
          </cell>
          <cell r="B221" t="str">
            <v>70D-1910 (NA)</v>
          </cell>
          <cell r="C221" t="str">
            <v>m</v>
          </cell>
          <cell r="D221">
            <v>128.30000000000001</v>
          </cell>
          <cell r="E221">
            <v>1.28</v>
          </cell>
          <cell r="F221">
            <v>129.5</v>
          </cell>
        </row>
        <row r="222">
          <cell r="A222">
            <v>1539</v>
          </cell>
          <cell r="B222" t="str">
            <v>100D-3503A (NA)</v>
          </cell>
          <cell r="C222" t="str">
            <v>m</v>
          </cell>
          <cell r="D222">
            <v>596.91999999999996</v>
          </cell>
          <cell r="E222">
            <v>5.97</v>
          </cell>
          <cell r="F222">
            <v>603</v>
          </cell>
        </row>
        <row r="223">
          <cell r="A223">
            <v>1540</v>
          </cell>
          <cell r="B223" t="str">
            <v>100D-3004A (NA)</v>
          </cell>
          <cell r="C223" t="str">
            <v>m</v>
          </cell>
          <cell r="D223">
            <v>704.3</v>
          </cell>
          <cell r="E223">
            <v>7.04</v>
          </cell>
          <cell r="F223">
            <v>711</v>
          </cell>
        </row>
        <row r="224">
          <cell r="A224">
            <v>1541</v>
          </cell>
          <cell r="B224" t="str">
            <v>100D-3207 (NA)</v>
          </cell>
          <cell r="C224" t="str">
            <v>m</v>
          </cell>
          <cell r="D224">
            <v>918.15</v>
          </cell>
          <cell r="E224">
            <v>9.18</v>
          </cell>
          <cell r="F224">
            <v>937.5</v>
          </cell>
        </row>
        <row r="225">
          <cell r="A225">
            <v>1542</v>
          </cell>
          <cell r="B225" t="str">
            <v>100D-3503 (NA)</v>
          </cell>
          <cell r="C225" t="str">
            <v>m</v>
          </cell>
          <cell r="D225">
            <v>651.69000000000005</v>
          </cell>
          <cell r="E225">
            <v>6.52</v>
          </cell>
          <cell r="F225">
            <v>658</v>
          </cell>
        </row>
        <row r="226">
          <cell r="A226">
            <v>1543</v>
          </cell>
          <cell r="B226" t="str">
            <v>100D-1914 (NA)</v>
          </cell>
          <cell r="C226" t="str">
            <v>m</v>
          </cell>
          <cell r="D226">
            <v>124.61</v>
          </cell>
          <cell r="E226">
            <v>1.25</v>
          </cell>
          <cell r="F226">
            <v>126</v>
          </cell>
        </row>
        <row r="227">
          <cell r="A227">
            <v>1544</v>
          </cell>
          <cell r="B227" t="str">
            <v>100D-3203 (NA)</v>
          </cell>
          <cell r="C227" t="str">
            <v>m</v>
          </cell>
          <cell r="D227">
            <v>693.07</v>
          </cell>
          <cell r="E227">
            <v>6.93</v>
          </cell>
          <cell r="F227">
            <v>700</v>
          </cell>
        </row>
        <row r="228">
          <cell r="A228">
            <v>1545</v>
          </cell>
          <cell r="B228" t="str">
            <v>70S-1002-1(NA)</v>
          </cell>
          <cell r="C228" t="str">
            <v>m</v>
          </cell>
          <cell r="D228">
            <v>323.83999999999997</v>
          </cell>
          <cell r="E228">
            <v>3.24</v>
          </cell>
          <cell r="F228">
            <v>327</v>
          </cell>
        </row>
        <row r="229">
          <cell r="A229">
            <v>1546</v>
          </cell>
          <cell r="B229" t="str">
            <v>70S-1102-1 (NA)</v>
          </cell>
          <cell r="C229" t="str">
            <v>m</v>
          </cell>
          <cell r="D229">
            <v>236.92</v>
          </cell>
          <cell r="E229">
            <v>2.37</v>
          </cell>
          <cell r="F229">
            <v>239.5</v>
          </cell>
        </row>
        <row r="230">
          <cell r="A230">
            <v>1547</v>
          </cell>
          <cell r="B230" t="str">
            <v>70S-1202-1(NA)</v>
          </cell>
          <cell r="C230" t="str">
            <v>m</v>
          </cell>
          <cell r="D230">
            <v>236.92</v>
          </cell>
          <cell r="E230">
            <v>2.37</v>
          </cell>
          <cell r="F230">
            <v>239.5</v>
          </cell>
        </row>
        <row r="231">
          <cell r="A231">
            <v>1548</v>
          </cell>
          <cell r="B231" t="str">
            <v>70S-1704A (NA)</v>
          </cell>
          <cell r="C231" t="str">
            <v>m</v>
          </cell>
          <cell r="D231">
            <v>441.38</v>
          </cell>
          <cell r="E231">
            <v>4.41</v>
          </cell>
          <cell r="F231">
            <v>446</v>
          </cell>
        </row>
        <row r="232">
          <cell r="A232">
            <v>1549</v>
          </cell>
          <cell r="B232" t="str">
            <v>70S-1402-1 (NA)</v>
          </cell>
          <cell r="C232" t="str">
            <v>m</v>
          </cell>
          <cell r="D232">
            <v>299.52999999999997</v>
          </cell>
          <cell r="E232">
            <v>3</v>
          </cell>
          <cell r="F232">
            <v>302.5</v>
          </cell>
        </row>
        <row r="233">
          <cell r="A233">
            <v>1550</v>
          </cell>
          <cell r="B233" t="str">
            <v>70S-1801 (NA)</v>
          </cell>
          <cell r="C233" t="str">
            <v>m</v>
          </cell>
          <cell r="D233">
            <v>281.38</v>
          </cell>
          <cell r="E233">
            <v>2.81</v>
          </cell>
          <cell r="F233">
            <v>284</v>
          </cell>
        </row>
        <row r="234">
          <cell r="A234">
            <v>1551</v>
          </cell>
          <cell r="B234" t="str">
            <v>70S-1101-2 (NA)</v>
          </cell>
          <cell r="C234" t="str">
            <v>m</v>
          </cell>
          <cell r="D234">
            <v>466.46</v>
          </cell>
          <cell r="E234">
            <v>4.66</v>
          </cell>
          <cell r="F234">
            <v>471</v>
          </cell>
        </row>
        <row r="235">
          <cell r="A235">
            <v>1552</v>
          </cell>
          <cell r="B235" t="str">
            <v>70S-1001-1 (NA)</v>
          </cell>
          <cell r="C235" t="str">
            <v>m</v>
          </cell>
          <cell r="D235">
            <v>461.07</v>
          </cell>
          <cell r="E235">
            <v>4.6100000000000003</v>
          </cell>
          <cell r="F235">
            <v>465.5</v>
          </cell>
        </row>
        <row r="236">
          <cell r="A236">
            <v>1553</v>
          </cell>
          <cell r="B236" t="str">
            <v>70S-1704A (NA)</v>
          </cell>
          <cell r="C236" t="str">
            <v>m</v>
          </cell>
          <cell r="D236">
            <v>441.38</v>
          </cell>
          <cell r="E236">
            <v>4.41</v>
          </cell>
          <cell r="F236">
            <v>446</v>
          </cell>
        </row>
        <row r="237">
          <cell r="A237">
            <v>1554</v>
          </cell>
          <cell r="B237" t="str">
            <v>70S-1401-1 (NA)</v>
          </cell>
          <cell r="C237" t="str">
            <v>m</v>
          </cell>
          <cell r="D237">
            <v>306.76</v>
          </cell>
          <cell r="E237">
            <v>3.07</v>
          </cell>
          <cell r="F237">
            <v>310</v>
          </cell>
        </row>
        <row r="238">
          <cell r="A238">
            <v>1555</v>
          </cell>
          <cell r="B238" t="str">
            <v>70S-1201-1 (NA)</v>
          </cell>
          <cell r="C238" t="str">
            <v>m</v>
          </cell>
          <cell r="D238">
            <v>375.07</v>
          </cell>
          <cell r="E238">
            <v>3.75</v>
          </cell>
          <cell r="F238">
            <v>379</v>
          </cell>
        </row>
        <row r="239">
          <cell r="A239">
            <v>1556</v>
          </cell>
          <cell r="B239" t="str">
            <v>70S-1604 (NA)</v>
          </cell>
          <cell r="C239" t="str">
            <v>m</v>
          </cell>
          <cell r="D239">
            <v>367.07</v>
          </cell>
          <cell r="E239">
            <v>3.67</v>
          </cell>
          <cell r="F239">
            <v>371</v>
          </cell>
        </row>
        <row r="240">
          <cell r="A240">
            <v>1557</v>
          </cell>
          <cell r="B240" t="str">
            <v>70S-1801 (NA)</v>
          </cell>
          <cell r="C240" t="str">
            <v>m</v>
          </cell>
          <cell r="D240">
            <v>281.38</v>
          </cell>
          <cell r="E240">
            <v>2.81</v>
          </cell>
          <cell r="F240">
            <v>284</v>
          </cell>
        </row>
        <row r="241">
          <cell r="A241">
            <v>1558</v>
          </cell>
          <cell r="B241" t="str">
            <v>PT-5157 (NA)</v>
          </cell>
          <cell r="C241" t="str">
            <v>m</v>
          </cell>
          <cell r="D241">
            <v>306.39</v>
          </cell>
          <cell r="E241">
            <v>3.06</v>
          </cell>
          <cell r="F241">
            <v>309.5</v>
          </cell>
        </row>
        <row r="242">
          <cell r="A242">
            <v>1559</v>
          </cell>
          <cell r="B242" t="str">
            <v>PT-5158 (NA)</v>
          </cell>
          <cell r="C242" t="str">
            <v>m</v>
          </cell>
          <cell r="D242">
            <v>226.72</v>
          </cell>
          <cell r="E242">
            <v>2.27</v>
          </cell>
          <cell r="F242">
            <v>229</v>
          </cell>
        </row>
        <row r="243">
          <cell r="A243">
            <v>1560</v>
          </cell>
          <cell r="B243" t="str">
            <v>PT-5153 (NA)</v>
          </cell>
          <cell r="C243" t="str">
            <v>m</v>
          </cell>
          <cell r="D243">
            <v>82.78</v>
          </cell>
          <cell r="E243">
            <v>0.83</v>
          </cell>
          <cell r="F243">
            <v>83.5</v>
          </cell>
        </row>
        <row r="244">
          <cell r="A244">
            <v>1561</v>
          </cell>
          <cell r="B244" t="str">
            <v>PT-5154 (NA)</v>
          </cell>
          <cell r="C244" t="str">
            <v>m</v>
          </cell>
          <cell r="D244">
            <v>169.34</v>
          </cell>
          <cell r="E244">
            <v>1.69</v>
          </cell>
          <cell r="F244">
            <v>171</v>
          </cell>
        </row>
        <row r="245">
          <cell r="A245">
            <v>1562</v>
          </cell>
          <cell r="B245" t="str">
            <v>A-110A (MF)</v>
          </cell>
          <cell r="C245" t="str">
            <v>m</v>
          </cell>
          <cell r="D245">
            <v>287.37</v>
          </cell>
          <cell r="E245">
            <v>2.87</v>
          </cell>
          <cell r="F245">
            <v>290</v>
          </cell>
        </row>
        <row r="246">
          <cell r="B246" t="str">
            <v>Aluminium Extrusions (Bronze Anodized)</v>
          </cell>
        </row>
        <row r="247">
          <cell r="A247">
            <v>1601</v>
          </cell>
          <cell r="B247" t="str">
            <v>70S-1101-1 (BA)</v>
          </cell>
          <cell r="C247" t="str">
            <v>m</v>
          </cell>
          <cell r="D247">
            <v>458.61</v>
          </cell>
          <cell r="E247">
            <v>4.59</v>
          </cell>
          <cell r="F247">
            <v>463</v>
          </cell>
        </row>
        <row r="248">
          <cell r="A248">
            <v>1602</v>
          </cell>
          <cell r="B248" t="str">
            <v>70S-1001-1 (BA)</v>
          </cell>
          <cell r="C248" t="str">
            <v>m</v>
          </cell>
          <cell r="D248">
            <v>469.38</v>
          </cell>
          <cell r="E248">
            <v>4.6900000000000004</v>
          </cell>
          <cell r="F248">
            <v>474</v>
          </cell>
        </row>
        <row r="249">
          <cell r="A249">
            <v>1603</v>
          </cell>
          <cell r="B249" t="str">
            <v>70S-1201-1 (BA)</v>
          </cell>
          <cell r="C249" t="str">
            <v>m</v>
          </cell>
          <cell r="D249">
            <v>382</v>
          </cell>
          <cell r="E249">
            <v>3.82</v>
          </cell>
          <cell r="F249">
            <v>386</v>
          </cell>
        </row>
        <row r="250">
          <cell r="A250">
            <v>1604</v>
          </cell>
          <cell r="B250" t="str">
            <v>70S-1604 (BA)</v>
          </cell>
          <cell r="C250" t="str">
            <v>m</v>
          </cell>
          <cell r="D250">
            <v>373.85</v>
          </cell>
          <cell r="E250">
            <v>3.74</v>
          </cell>
          <cell r="F250">
            <v>377.5</v>
          </cell>
        </row>
        <row r="251">
          <cell r="A251">
            <v>1605</v>
          </cell>
          <cell r="B251" t="str">
            <v>70S-1704 (BA)</v>
          </cell>
          <cell r="C251" t="str">
            <v>m</v>
          </cell>
          <cell r="D251">
            <v>352.77</v>
          </cell>
          <cell r="E251">
            <v>3.53</v>
          </cell>
          <cell r="F251">
            <v>356.5</v>
          </cell>
        </row>
        <row r="252">
          <cell r="A252">
            <v>1606</v>
          </cell>
          <cell r="B252" t="str">
            <v>70S-1503A (BA)</v>
          </cell>
          <cell r="C252" t="str">
            <v>m</v>
          </cell>
          <cell r="D252">
            <v>441.38</v>
          </cell>
          <cell r="E252">
            <v>4.41</v>
          </cell>
          <cell r="F252">
            <v>446</v>
          </cell>
        </row>
        <row r="253">
          <cell r="A253">
            <v>1607</v>
          </cell>
          <cell r="B253" t="str">
            <v>70S-1401-1 (BA)</v>
          </cell>
          <cell r="C253" t="str">
            <v>m</v>
          </cell>
          <cell r="D253">
            <v>312</v>
          </cell>
          <cell r="E253">
            <v>3.12</v>
          </cell>
          <cell r="F253">
            <v>315</v>
          </cell>
        </row>
        <row r="254">
          <cell r="A254">
            <v>1608</v>
          </cell>
          <cell r="B254" t="str">
            <v>70SF-1006 (BA)</v>
          </cell>
          <cell r="C254" t="str">
            <v>m</v>
          </cell>
          <cell r="D254">
            <v>740.46</v>
          </cell>
          <cell r="E254">
            <v>7.4</v>
          </cell>
          <cell r="F254">
            <v>748</v>
          </cell>
        </row>
        <row r="255">
          <cell r="A255">
            <v>1609</v>
          </cell>
          <cell r="B255" t="str">
            <v>70SF-1201A (BA)</v>
          </cell>
          <cell r="C255" t="str">
            <v>m</v>
          </cell>
          <cell r="D255">
            <v>258.14999999999998</v>
          </cell>
          <cell r="E255">
            <v>2.58</v>
          </cell>
          <cell r="F255">
            <v>261</v>
          </cell>
        </row>
        <row r="256">
          <cell r="A256">
            <v>1610</v>
          </cell>
          <cell r="B256" t="str">
            <v>70SF-1201B (BA)</v>
          </cell>
          <cell r="C256" t="str">
            <v>m</v>
          </cell>
          <cell r="D256">
            <v>258.14999999999998</v>
          </cell>
          <cell r="E256">
            <v>2.58</v>
          </cell>
          <cell r="F256">
            <v>260.5</v>
          </cell>
        </row>
        <row r="257">
          <cell r="A257">
            <v>1611</v>
          </cell>
          <cell r="B257" t="str">
            <v>DG-02 (BA)</v>
          </cell>
          <cell r="C257" t="str">
            <v>m</v>
          </cell>
          <cell r="D257">
            <v>233.6</v>
          </cell>
          <cell r="E257">
            <v>2.34</v>
          </cell>
          <cell r="F257">
            <v>236</v>
          </cell>
        </row>
        <row r="258">
          <cell r="A258">
            <v>1612</v>
          </cell>
          <cell r="B258" t="str">
            <v>DG-102 (BA)</v>
          </cell>
          <cell r="C258" t="str">
            <v>m</v>
          </cell>
          <cell r="D258">
            <v>208.52</v>
          </cell>
          <cell r="E258">
            <v>2.09</v>
          </cell>
          <cell r="F258">
            <v>210.5</v>
          </cell>
        </row>
        <row r="259">
          <cell r="A259">
            <v>1613</v>
          </cell>
          <cell r="B259" t="str">
            <v>CA-1001(BA)</v>
          </cell>
          <cell r="C259" t="str">
            <v>m</v>
          </cell>
          <cell r="D259">
            <v>579.51</v>
          </cell>
          <cell r="E259">
            <v>5.8</v>
          </cell>
          <cell r="F259">
            <v>585.5</v>
          </cell>
        </row>
        <row r="260">
          <cell r="A260">
            <v>1614</v>
          </cell>
          <cell r="B260" t="str">
            <v>CA-1002 (BA)</v>
          </cell>
          <cell r="C260" t="str">
            <v>m</v>
          </cell>
          <cell r="D260">
            <v>905.57</v>
          </cell>
          <cell r="E260">
            <v>9.06</v>
          </cell>
          <cell r="F260">
            <v>914.5</v>
          </cell>
        </row>
        <row r="261">
          <cell r="A261">
            <v>1615</v>
          </cell>
          <cell r="B261" t="str">
            <v>100D-1914 (BA)</v>
          </cell>
          <cell r="C261" t="str">
            <v>m</v>
          </cell>
          <cell r="D261">
            <v>127.07</v>
          </cell>
          <cell r="E261">
            <v>1.27</v>
          </cell>
          <cell r="F261">
            <v>128.5</v>
          </cell>
        </row>
        <row r="262">
          <cell r="A262">
            <v>1616</v>
          </cell>
          <cell r="B262" t="str">
            <v>CA-1007 (BA)</v>
          </cell>
          <cell r="C262" t="str">
            <v>m</v>
          </cell>
          <cell r="D262">
            <v>260.32</v>
          </cell>
          <cell r="E262">
            <v>2.6</v>
          </cell>
          <cell r="F262">
            <v>263</v>
          </cell>
        </row>
        <row r="263">
          <cell r="A263">
            <v>1617</v>
          </cell>
          <cell r="B263" t="str">
            <v>CA-1008 (BA)</v>
          </cell>
          <cell r="C263" t="str">
            <v>m</v>
          </cell>
          <cell r="D263">
            <v>441.8</v>
          </cell>
          <cell r="E263">
            <v>4.42</v>
          </cell>
          <cell r="F263">
            <v>446</v>
          </cell>
        </row>
        <row r="264">
          <cell r="A264">
            <v>1618</v>
          </cell>
          <cell r="B264" t="str">
            <v>CA-2005 (BA)</v>
          </cell>
          <cell r="C264" t="str">
            <v>m</v>
          </cell>
          <cell r="D264">
            <v>493.6</v>
          </cell>
          <cell r="E264">
            <v>4.9400000000000004</v>
          </cell>
          <cell r="F264">
            <v>498.5</v>
          </cell>
        </row>
        <row r="265">
          <cell r="A265">
            <v>1619</v>
          </cell>
          <cell r="B265" t="str">
            <v>A-111 (MF)</v>
          </cell>
          <cell r="C265" t="str">
            <v>m</v>
          </cell>
          <cell r="D265">
            <v>392.88</v>
          </cell>
          <cell r="E265">
            <v>3.93</v>
          </cell>
          <cell r="F265">
            <v>397</v>
          </cell>
        </row>
        <row r="266">
          <cell r="A266">
            <v>1620</v>
          </cell>
          <cell r="B266" t="str">
            <v>DG-01 (BA)</v>
          </cell>
          <cell r="C266" t="str">
            <v>m</v>
          </cell>
          <cell r="D266">
            <v>223.44</v>
          </cell>
          <cell r="E266">
            <v>2.23</v>
          </cell>
          <cell r="F266">
            <v>225.5</v>
          </cell>
        </row>
        <row r="267">
          <cell r="A267">
            <v>1621</v>
          </cell>
          <cell r="B267" t="str">
            <v>DG-101(BA)</v>
          </cell>
          <cell r="C267" t="str">
            <v>m</v>
          </cell>
          <cell r="D267">
            <v>192.46</v>
          </cell>
          <cell r="E267">
            <v>1.92</v>
          </cell>
          <cell r="F267">
            <v>194.5</v>
          </cell>
        </row>
        <row r="268">
          <cell r="A268">
            <v>1622</v>
          </cell>
          <cell r="B268" t="str">
            <v>CA-2004 (BA)</v>
          </cell>
          <cell r="C268" t="str">
            <v>m</v>
          </cell>
          <cell r="D268">
            <v>339.01</v>
          </cell>
          <cell r="E268">
            <v>3.39</v>
          </cell>
          <cell r="F268">
            <v>342.5</v>
          </cell>
        </row>
        <row r="269">
          <cell r="A269">
            <v>1623</v>
          </cell>
          <cell r="B269" t="str">
            <v>GL-107 (BA)</v>
          </cell>
          <cell r="C269" t="str">
            <v>m</v>
          </cell>
          <cell r="D269">
            <v>132.94999999999999</v>
          </cell>
          <cell r="E269">
            <v>1.33</v>
          </cell>
          <cell r="F269">
            <v>134.5</v>
          </cell>
        </row>
        <row r="270">
          <cell r="A270">
            <v>1624</v>
          </cell>
          <cell r="B270" t="str">
            <v>CA-1003 (BA)</v>
          </cell>
          <cell r="C270" t="str">
            <v>m</v>
          </cell>
          <cell r="D270">
            <v>358.69</v>
          </cell>
          <cell r="E270">
            <v>3.59</v>
          </cell>
          <cell r="F270">
            <v>362.5</v>
          </cell>
        </row>
        <row r="271">
          <cell r="A271">
            <v>1625</v>
          </cell>
          <cell r="B271" t="str">
            <v>CA-1004 (BA)</v>
          </cell>
          <cell r="C271" t="str">
            <v>m</v>
          </cell>
          <cell r="D271">
            <v>535.9</v>
          </cell>
          <cell r="E271">
            <v>5.36</v>
          </cell>
          <cell r="F271">
            <v>541.5</v>
          </cell>
        </row>
        <row r="272">
          <cell r="A272">
            <v>1626</v>
          </cell>
          <cell r="B272" t="str">
            <v>CA-2006 (BA)</v>
          </cell>
          <cell r="C272" t="str">
            <v>m</v>
          </cell>
          <cell r="D272">
            <v>501.31</v>
          </cell>
          <cell r="E272">
            <v>5.01</v>
          </cell>
          <cell r="F272">
            <v>506.5</v>
          </cell>
        </row>
        <row r="273">
          <cell r="A273">
            <v>1627</v>
          </cell>
          <cell r="B273" t="str">
            <v>DG-02 (BA)</v>
          </cell>
          <cell r="C273" t="str">
            <v>m</v>
          </cell>
          <cell r="D273">
            <v>233.6</v>
          </cell>
          <cell r="E273">
            <v>2.34</v>
          </cell>
          <cell r="F273">
            <v>236</v>
          </cell>
        </row>
        <row r="274">
          <cell r="A274">
            <v>1628</v>
          </cell>
          <cell r="B274" t="str">
            <v>DG-102(BA)</v>
          </cell>
          <cell r="C274" t="str">
            <v>m</v>
          </cell>
          <cell r="D274">
            <v>208.52</v>
          </cell>
          <cell r="E274">
            <v>2.09</v>
          </cell>
          <cell r="F274">
            <v>210.5</v>
          </cell>
        </row>
        <row r="275">
          <cell r="A275">
            <v>1629</v>
          </cell>
          <cell r="B275" t="str">
            <v>CA-1001 (BA)</v>
          </cell>
          <cell r="C275" t="str">
            <v>m</v>
          </cell>
          <cell r="D275">
            <v>579.51</v>
          </cell>
          <cell r="E275">
            <v>5.8</v>
          </cell>
          <cell r="F275">
            <v>585.5</v>
          </cell>
        </row>
        <row r="276">
          <cell r="A276">
            <v>1630</v>
          </cell>
          <cell r="B276" t="str">
            <v>CA-1002 (BA)</v>
          </cell>
          <cell r="C276" t="str">
            <v>m</v>
          </cell>
          <cell r="D276">
            <v>905.57</v>
          </cell>
          <cell r="E276">
            <v>9.06</v>
          </cell>
          <cell r="F276">
            <v>914.5</v>
          </cell>
        </row>
        <row r="277">
          <cell r="A277">
            <v>1631</v>
          </cell>
          <cell r="B277" t="str">
            <v>100D-3104 (BA)</v>
          </cell>
          <cell r="C277" t="str">
            <v>m</v>
          </cell>
          <cell r="D277">
            <v>613.69000000000005</v>
          </cell>
          <cell r="E277">
            <v>6.14</v>
          </cell>
          <cell r="F277">
            <v>620</v>
          </cell>
        </row>
        <row r="278">
          <cell r="A278">
            <v>1632</v>
          </cell>
          <cell r="B278" t="str">
            <v>100D-101 (BA)</v>
          </cell>
          <cell r="C278" t="str">
            <v>m</v>
          </cell>
          <cell r="D278">
            <v>838.31</v>
          </cell>
          <cell r="E278">
            <v>8.3800000000000008</v>
          </cell>
          <cell r="F278">
            <v>846.5</v>
          </cell>
        </row>
        <row r="279">
          <cell r="A279">
            <v>1633</v>
          </cell>
          <cell r="B279" t="str">
            <v>100D-102 (BA)</v>
          </cell>
          <cell r="C279" t="str">
            <v>m</v>
          </cell>
          <cell r="D279">
            <v>877.85</v>
          </cell>
          <cell r="E279">
            <v>8.7799999999999994</v>
          </cell>
          <cell r="F279">
            <v>886.5</v>
          </cell>
        </row>
        <row r="280">
          <cell r="A280">
            <v>1634</v>
          </cell>
          <cell r="B280" t="str">
            <v>100D-201 (BA)</v>
          </cell>
          <cell r="C280" t="str">
            <v>m</v>
          </cell>
          <cell r="D280">
            <v>811.69</v>
          </cell>
          <cell r="E280">
            <v>8.1199999999999992</v>
          </cell>
          <cell r="F280">
            <v>820</v>
          </cell>
        </row>
        <row r="281">
          <cell r="A281">
            <v>1635</v>
          </cell>
          <cell r="B281" t="str">
            <v>100D-301 (BA)</v>
          </cell>
          <cell r="C281" t="str">
            <v>m</v>
          </cell>
          <cell r="D281">
            <v>964</v>
          </cell>
          <cell r="E281">
            <v>9.64</v>
          </cell>
          <cell r="F281">
            <v>973.5</v>
          </cell>
        </row>
        <row r="282">
          <cell r="A282">
            <v>1636</v>
          </cell>
          <cell r="B282" t="str">
            <v>100D-401 (BA)</v>
          </cell>
          <cell r="C282" t="str">
            <v>m</v>
          </cell>
          <cell r="D282">
            <v>1067.69</v>
          </cell>
          <cell r="E282">
            <v>10.68</v>
          </cell>
          <cell r="F282">
            <v>1078.5</v>
          </cell>
        </row>
        <row r="283">
          <cell r="A283">
            <v>1637</v>
          </cell>
          <cell r="B283" t="str">
            <v>100D-501 (BA)</v>
          </cell>
          <cell r="C283" t="str">
            <v>m</v>
          </cell>
          <cell r="D283">
            <v>114.15</v>
          </cell>
          <cell r="E283">
            <v>1.1399999999999999</v>
          </cell>
          <cell r="F283">
            <v>115.5</v>
          </cell>
        </row>
        <row r="284">
          <cell r="A284">
            <v>1638</v>
          </cell>
          <cell r="B284" t="str">
            <v>70D-1910 (BA)</v>
          </cell>
          <cell r="C284" t="str">
            <v>m</v>
          </cell>
          <cell r="D284">
            <v>130.30000000000001</v>
          </cell>
          <cell r="E284">
            <v>1.3</v>
          </cell>
          <cell r="F284">
            <v>131.5</v>
          </cell>
        </row>
        <row r="285">
          <cell r="A285">
            <v>1639</v>
          </cell>
          <cell r="B285" t="str">
            <v>100D-3503A (BA)</v>
          </cell>
          <cell r="C285" t="str">
            <v>m</v>
          </cell>
          <cell r="D285">
            <v>607.69000000000005</v>
          </cell>
          <cell r="E285">
            <v>6.08</v>
          </cell>
          <cell r="F285">
            <v>613.5</v>
          </cell>
        </row>
        <row r="286">
          <cell r="A286">
            <v>1640</v>
          </cell>
          <cell r="B286" t="str">
            <v>100D-3004A (BA)</v>
          </cell>
          <cell r="C286" t="str">
            <v>m</v>
          </cell>
          <cell r="D286">
            <v>717.38</v>
          </cell>
          <cell r="E286">
            <v>7.17</v>
          </cell>
          <cell r="F286">
            <v>724.5</v>
          </cell>
        </row>
        <row r="287">
          <cell r="A287">
            <v>1641</v>
          </cell>
          <cell r="B287" t="str">
            <v>100D-3207 (BA)</v>
          </cell>
          <cell r="C287" t="str">
            <v>m</v>
          </cell>
          <cell r="D287">
            <v>934.92</v>
          </cell>
          <cell r="E287">
            <v>9.35</v>
          </cell>
          <cell r="F287">
            <v>944.5</v>
          </cell>
        </row>
        <row r="288">
          <cell r="A288">
            <v>1642</v>
          </cell>
          <cell r="B288" t="str">
            <v>100D-3503 (BA)</v>
          </cell>
          <cell r="C288" t="str">
            <v>m</v>
          </cell>
          <cell r="D288">
            <v>663.85</v>
          </cell>
          <cell r="E288">
            <v>6.64</v>
          </cell>
          <cell r="F288">
            <v>670.5</v>
          </cell>
        </row>
        <row r="289">
          <cell r="A289">
            <v>1643</v>
          </cell>
          <cell r="B289" t="str">
            <v>100D-1914 (BA)</v>
          </cell>
          <cell r="C289" t="str">
            <v>m</v>
          </cell>
          <cell r="D289">
            <v>127.07</v>
          </cell>
          <cell r="E289">
            <v>1.27</v>
          </cell>
          <cell r="F289">
            <v>128.5</v>
          </cell>
        </row>
        <row r="290">
          <cell r="A290">
            <v>1644</v>
          </cell>
          <cell r="B290" t="str">
            <v>100D-3203 (BA)</v>
          </cell>
          <cell r="C290" t="str">
            <v>m</v>
          </cell>
          <cell r="D290">
            <v>705.53</v>
          </cell>
          <cell r="E290">
            <v>7.06</v>
          </cell>
          <cell r="F290">
            <v>712.5</v>
          </cell>
        </row>
        <row r="291">
          <cell r="A291">
            <v>1645</v>
          </cell>
          <cell r="B291" t="str">
            <v>70S-1002-1(BA)</v>
          </cell>
          <cell r="C291" t="str">
            <v>m</v>
          </cell>
          <cell r="D291">
            <v>329.69</v>
          </cell>
          <cell r="E291">
            <v>3.3</v>
          </cell>
          <cell r="F291">
            <v>333</v>
          </cell>
        </row>
        <row r="292">
          <cell r="A292">
            <v>1646</v>
          </cell>
          <cell r="B292" t="str">
            <v>70S-1102-1 (BA)</v>
          </cell>
          <cell r="C292" t="str">
            <v>m</v>
          </cell>
          <cell r="D292">
            <v>241.23</v>
          </cell>
          <cell r="E292">
            <v>2.41</v>
          </cell>
          <cell r="F292">
            <v>243.5</v>
          </cell>
        </row>
        <row r="293">
          <cell r="A293">
            <v>1647</v>
          </cell>
          <cell r="B293" t="str">
            <v>70S-1202-1(BA)</v>
          </cell>
          <cell r="C293" t="str">
            <v>m</v>
          </cell>
          <cell r="D293">
            <v>241.23</v>
          </cell>
          <cell r="E293">
            <v>2.41</v>
          </cell>
          <cell r="F293">
            <v>243.5</v>
          </cell>
        </row>
        <row r="294">
          <cell r="A294">
            <v>1648</v>
          </cell>
          <cell r="B294" t="str">
            <v>70S-1704A (BA)</v>
          </cell>
          <cell r="C294" t="str">
            <v>m</v>
          </cell>
          <cell r="D294">
            <v>449.54</v>
          </cell>
          <cell r="E294">
            <v>4.5</v>
          </cell>
          <cell r="F294">
            <v>454</v>
          </cell>
        </row>
        <row r="295">
          <cell r="A295">
            <v>1649</v>
          </cell>
          <cell r="B295" t="str">
            <v>70S-1402-1 (BA)</v>
          </cell>
          <cell r="C295" t="str">
            <v>m</v>
          </cell>
          <cell r="D295">
            <v>304.92</v>
          </cell>
          <cell r="E295">
            <v>3.05</v>
          </cell>
          <cell r="F295">
            <v>308</v>
          </cell>
        </row>
        <row r="296">
          <cell r="A296">
            <v>1650</v>
          </cell>
          <cell r="B296" t="str">
            <v>70S-1801 (BA)</v>
          </cell>
          <cell r="C296" t="str">
            <v>m</v>
          </cell>
          <cell r="D296">
            <v>286.45999999999998</v>
          </cell>
          <cell r="E296">
            <v>2.86</v>
          </cell>
          <cell r="F296">
            <v>289.5</v>
          </cell>
        </row>
        <row r="297">
          <cell r="A297">
            <v>1651</v>
          </cell>
          <cell r="B297" t="str">
            <v>70S-1101-2 (BA)</v>
          </cell>
          <cell r="C297" t="str">
            <v>m</v>
          </cell>
          <cell r="D297">
            <v>475.07</v>
          </cell>
          <cell r="E297">
            <v>4.75</v>
          </cell>
          <cell r="F297">
            <v>480</v>
          </cell>
        </row>
        <row r="298">
          <cell r="A298">
            <v>1652</v>
          </cell>
          <cell r="B298" t="str">
            <v>70S-1001-1 (BA)</v>
          </cell>
          <cell r="C298" t="str">
            <v>m</v>
          </cell>
          <cell r="D298">
            <v>469.38</v>
          </cell>
          <cell r="E298">
            <v>4.6900000000000004</v>
          </cell>
          <cell r="F298">
            <v>474</v>
          </cell>
        </row>
        <row r="299">
          <cell r="A299">
            <v>1653</v>
          </cell>
          <cell r="B299" t="str">
            <v>70S-1704A (BA)</v>
          </cell>
          <cell r="C299" t="str">
            <v>m</v>
          </cell>
          <cell r="D299">
            <v>449.54</v>
          </cell>
          <cell r="E299">
            <v>4.5</v>
          </cell>
          <cell r="F299">
            <v>454</v>
          </cell>
        </row>
        <row r="300">
          <cell r="A300">
            <v>1654</v>
          </cell>
          <cell r="B300" t="str">
            <v>70S-1401-1 (BA)</v>
          </cell>
          <cell r="C300" t="str">
            <v>m</v>
          </cell>
          <cell r="D300">
            <v>312</v>
          </cell>
          <cell r="E300">
            <v>3.12</v>
          </cell>
          <cell r="F300">
            <v>315</v>
          </cell>
        </row>
        <row r="301">
          <cell r="A301">
            <v>1655</v>
          </cell>
          <cell r="B301" t="str">
            <v>70S-1201-1 (BA)</v>
          </cell>
          <cell r="C301" t="str">
            <v>m</v>
          </cell>
          <cell r="D301">
            <v>382</v>
          </cell>
          <cell r="E301">
            <v>3.82</v>
          </cell>
          <cell r="F301">
            <v>386</v>
          </cell>
        </row>
        <row r="302">
          <cell r="A302">
            <v>1656</v>
          </cell>
          <cell r="B302" t="str">
            <v>70S-1604 (BA)</v>
          </cell>
          <cell r="C302" t="str">
            <v>m</v>
          </cell>
          <cell r="D302">
            <v>373.85</v>
          </cell>
          <cell r="E302">
            <v>3.74</v>
          </cell>
          <cell r="F302">
            <v>377.5</v>
          </cell>
        </row>
        <row r="303">
          <cell r="A303">
            <v>1657</v>
          </cell>
          <cell r="B303" t="str">
            <v>70S-1801 (BA)</v>
          </cell>
          <cell r="C303" t="str">
            <v>m</v>
          </cell>
          <cell r="D303">
            <v>286.45999999999998</v>
          </cell>
          <cell r="E303">
            <v>2.86</v>
          </cell>
          <cell r="F303">
            <v>289.5</v>
          </cell>
        </row>
        <row r="304">
          <cell r="A304">
            <v>1658</v>
          </cell>
          <cell r="B304" t="str">
            <v>PT-5157 (BA)</v>
          </cell>
          <cell r="C304" t="str">
            <v>m</v>
          </cell>
          <cell r="D304">
            <v>312.45999999999998</v>
          </cell>
          <cell r="E304">
            <v>3.12</v>
          </cell>
          <cell r="F304">
            <v>315.5</v>
          </cell>
        </row>
        <row r="305">
          <cell r="A305">
            <v>1659</v>
          </cell>
          <cell r="B305" t="str">
            <v>PT-5158 (BA)</v>
          </cell>
          <cell r="C305" t="str">
            <v>m</v>
          </cell>
          <cell r="D305">
            <v>230.32</v>
          </cell>
          <cell r="E305">
            <v>2.2999999999999998</v>
          </cell>
          <cell r="F305">
            <v>232.5</v>
          </cell>
        </row>
        <row r="306">
          <cell r="A306">
            <v>1660</v>
          </cell>
          <cell r="B306" t="str">
            <v>PT-5153 (BA)</v>
          </cell>
          <cell r="C306" t="str">
            <v>m</v>
          </cell>
          <cell r="D306">
            <v>84.42</v>
          </cell>
          <cell r="E306">
            <v>0.84</v>
          </cell>
          <cell r="F306">
            <v>85.5</v>
          </cell>
        </row>
        <row r="307">
          <cell r="A307">
            <v>1661</v>
          </cell>
          <cell r="B307" t="str">
            <v>PT-5154 (BA)</v>
          </cell>
          <cell r="C307" t="str">
            <v>m</v>
          </cell>
          <cell r="D307">
            <v>171.97</v>
          </cell>
          <cell r="E307">
            <v>1.72</v>
          </cell>
          <cell r="F307">
            <v>173.5</v>
          </cell>
        </row>
        <row r="308">
          <cell r="A308">
            <v>1662</v>
          </cell>
          <cell r="B308" t="str">
            <v>A-110A (MF)</v>
          </cell>
          <cell r="C308" t="str">
            <v>m</v>
          </cell>
          <cell r="D308">
            <v>257.05</v>
          </cell>
          <cell r="E308">
            <v>2.57</v>
          </cell>
          <cell r="F308">
            <v>259.5</v>
          </cell>
        </row>
        <row r="309">
          <cell r="B309" t="str">
            <v>Aluminium Extrusions (Powder Coated)</v>
          </cell>
        </row>
        <row r="310">
          <cell r="A310">
            <v>1701</v>
          </cell>
          <cell r="B310" t="str">
            <v>70S-1101-1 (PC)</v>
          </cell>
          <cell r="C310" t="str">
            <v>m</v>
          </cell>
          <cell r="D310">
            <v>519.38</v>
          </cell>
          <cell r="E310">
            <v>5.19</v>
          </cell>
          <cell r="F310">
            <v>524.5</v>
          </cell>
        </row>
        <row r="311">
          <cell r="A311">
            <v>1702</v>
          </cell>
          <cell r="B311" t="str">
            <v>70S-1001-1 (PC)</v>
          </cell>
          <cell r="C311" t="str">
            <v>m</v>
          </cell>
          <cell r="D311">
            <v>531.23</v>
          </cell>
          <cell r="E311">
            <v>5.31</v>
          </cell>
          <cell r="F311">
            <v>536.5</v>
          </cell>
        </row>
        <row r="312">
          <cell r="A312">
            <v>1703</v>
          </cell>
          <cell r="B312" t="str">
            <v>70S-1201-1 (PC)</v>
          </cell>
          <cell r="C312" t="str">
            <v>m</v>
          </cell>
          <cell r="D312">
            <v>432.15</v>
          </cell>
          <cell r="E312">
            <v>4.32</v>
          </cell>
          <cell r="F312">
            <v>436.5</v>
          </cell>
        </row>
        <row r="313">
          <cell r="A313">
            <v>1704</v>
          </cell>
          <cell r="B313" t="str">
            <v>70S-1604 (PC)</v>
          </cell>
          <cell r="C313" t="str">
            <v>m</v>
          </cell>
          <cell r="D313">
            <v>422.92</v>
          </cell>
          <cell r="E313">
            <v>4.2300000000000004</v>
          </cell>
          <cell r="F313">
            <v>427</v>
          </cell>
        </row>
        <row r="314">
          <cell r="A314">
            <v>1705</v>
          </cell>
          <cell r="B314" t="str">
            <v>70S-1704 (PC)</v>
          </cell>
          <cell r="C314" t="str">
            <v>m</v>
          </cell>
          <cell r="D314">
            <v>399.23</v>
          </cell>
          <cell r="E314">
            <v>3.99</v>
          </cell>
          <cell r="F314">
            <v>403</v>
          </cell>
        </row>
        <row r="315">
          <cell r="A315">
            <v>1706</v>
          </cell>
          <cell r="B315" t="str">
            <v>70S-1503A (PC)</v>
          </cell>
          <cell r="C315" t="str">
            <v>m</v>
          </cell>
          <cell r="D315">
            <v>499.54</v>
          </cell>
          <cell r="E315">
            <v>5</v>
          </cell>
          <cell r="F315">
            <v>504.5</v>
          </cell>
        </row>
        <row r="316">
          <cell r="A316">
            <v>1707</v>
          </cell>
          <cell r="B316" t="str">
            <v>70S-1401-1 (PC)</v>
          </cell>
          <cell r="C316" t="str">
            <v>m</v>
          </cell>
          <cell r="D316">
            <v>353.23</v>
          </cell>
          <cell r="E316">
            <v>3.53</v>
          </cell>
          <cell r="F316">
            <v>357</v>
          </cell>
        </row>
        <row r="317">
          <cell r="A317">
            <v>1708</v>
          </cell>
          <cell r="B317" t="str">
            <v>70SF-1006 (PC)</v>
          </cell>
          <cell r="C317" t="str">
            <v>m</v>
          </cell>
          <cell r="D317">
            <v>838.15</v>
          </cell>
          <cell r="E317">
            <v>8.3800000000000008</v>
          </cell>
          <cell r="F317">
            <v>846.5</v>
          </cell>
        </row>
        <row r="318">
          <cell r="A318">
            <v>1709</v>
          </cell>
          <cell r="B318" t="str">
            <v>70SF-1201A (PC)</v>
          </cell>
          <cell r="C318" t="str">
            <v>m</v>
          </cell>
          <cell r="D318">
            <v>292.61</v>
          </cell>
          <cell r="E318">
            <v>2.93</v>
          </cell>
          <cell r="F318">
            <v>295.5</v>
          </cell>
        </row>
        <row r="319">
          <cell r="A319">
            <v>1710</v>
          </cell>
          <cell r="B319" t="str">
            <v>70SF-1201B (PC)</v>
          </cell>
          <cell r="C319" t="str">
            <v>m</v>
          </cell>
          <cell r="D319">
            <v>292.61</v>
          </cell>
          <cell r="E319">
            <v>2.93</v>
          </cell>
          <cell r="F319">
            <v>295.5</v>
          </cell>
        </row>
        <row r="320">
          <cell r="A320">
            <v>1711</v>
          </cell>
          <cell r="B320" t="str">
            <v>DG-02 (PC)</v>
          </cell>
          <cell r="C320" t="str">
            <v>m</v>
          </cell>
          <cell r="D320">
            <v>264.43</v>
          </cell>
          <cell r="E320">
            <v>2.64</v>
          </cell>
          <cell r="F320">
            <v>267</v>
          </cell>
        </row>
        <row r="321">
          <cell r="A321">
            <v>1712</v>
          </cell>
          <cell r="B321" t="str">
            <v>DG-102 (PC)</v>
          </cell>
          <cell r="C321" t="str">
            <v>m</v>
          </cell>
          <cell r="D321">
            <v>236.06</v>
          </cell>
          <cell r="E321">
            <v>2.36</v>
          </cell>
          <cell r="F321">
            <v>238.5</v>
          </cell>
        </row>
        <row r="322">
          <cell r="A322">
            <v>1713</v>
          </cell>
          <cell r="B322" t="str">
            <v>CA-1001(PC)</v>
          </cell>
          <cell r="C322" t="str">
            <v>m</v>
          </cell>
          <cell r="D322">
            <v>655.57</v>
          </cell>
          <cell r="E322">
            <v>6.56</v>
          </cell>
          <cell r="F322">
            <v>662</v>
          </cell>
        </row>
        <row r="323">
          <cell r="A323">
            <v>1714</v>
          </cell>
          <cell r="B323" t="str">
            <v>CA-1002 (PC)</v>
          </cell>
          <cell r="C323" t="str">
            <v>m</v>
          </cell>
          <cell r="D323">
            <v>1024.92</v>
          </cell>
          <cell r="E323">
            <v>10.25</v>
          </cell>
          <cell r="F323">
            <v>1035</v>
          </cell>
        </row>
        <row r="324">
          <cell r="A324">
            <v>1715</v>
          </cell>
          <cell r="B324" t="str">
            <v>100D-1914 (PC)</v>
          </cell>
          <cell r="C324" t="str">
            <v>m</v>
          </cell>
          <cell r="D324">
            <v>143.84</v>
          </cell>
          <cell r="E324">
            <v>1.44</v>
          </cell>
          <cell r="F324">
            <v>145.5</v>
          </cell>
        </row>
        <row r="325">
          <cell r="A325">
            <v>1716</v>
          </cell>
          <cell r="B325" t="str">
            <v>CA-1007 (PC)</v>
          </cell>
          <cell r="C325" t="str">
            <v>m</v>
          </cell>
          <cell r="D325">
            <v>294.75</v>
          </cell>
          <cell r="E325">
            <v>2.95</v>
          </cell>
          <cell r="F325">
            <v>297.5</v>
          </cell>
        </row>
        <row r="326">
          <cell r="A326">
            <v>1717</v>
          </cell>
          <cell r="B326" t="str">
            <v>CA-1008 (PC)</v>
          </cell>
          <cell r="C326" t="str">
            <v>m</v>
          </cell>
          <cell r="D326">
            <v>500.16</v>
          </cell>
          <cell r="E326">
            <v>5</v>
          </cell>
          <cell r="F326">
            <v>505</v>
          </cell>
        </row>
        <row r="327">
          <cell r="A327">
            <v>1718</v>
          </cell>
          <cell r="B327" t="str">
            <v>CA-2005 (PC)</v>
          </cell>
          <cell r="C327" t="str">
            <v>m</v>
          </cell>
          <cell r="D327">
            <v>558.85</v>
          </cell>
          <cell r="E327">
            <v>5.59</v>
          </cell>
          <cell r="F327">
            <v>564.5</v>
          </cell>
        </row>
        <row r="328">
          <cell r="A328">
            <v>1719</v>
          </cell>
          <cell r="B328" t="str">
            <v>A-111 (MF)</v>
          </cell>
          <cell r="C328" t="str">
            <v>m</v>
          </cell>
          <cell r="D328">
            <v>392.87</v>
          </cell>
          <cell r="E328">
            <v>3.93</v>
          </cell>
          <cell r="F328">
            <v>397</v>
          </cell>
        </row>
        <row r="329">
          <cell r="A329">
            <v>1720</v>
          </cell>
          <cell r="B329" t="str">
            <v>DG-01 (PC)</v>
          </cell>
          <cell r="C329" t="str">
            <v>m</v>
          </cell>
          <cell r="D329">
            <v>252.95</v>
          </cell>
          <cell r="E329">
            <v>2.5299999999999998</v>
          </cell>
          <cell r="F329">
            <v>255.5</v>
          </cell>
        </row>
        <row r="330">
          <cell r="A330">
            <v>1721</v>
          </cell>
          <cell r="B330" t="str">
            <v>DG-101(PC)</v>
          </cell>
          <cell r="C330" t="str">
            <v>m</v>
          </cell>
          <cell r="D330">
            <v>217.54</v>
          </cell>
          <cell r="E330">
            <v>2.1800000000000002</v>
          </cell>
          <cell r="F330">
            <v>219.5</v>
          </cell>
        </row>
        <row r="331">
          <cell r="A331">
            <v>1722</v>
          </cell>
          <cell r="B331" t="str">
            <v>CA-2004 (PC)</v>
          </cell>
          <cell r="C331" t="str">
            <v>m</v>
          </cell>
          <cell r="D331">
            <v>384.26</v>
          </cell>
          <cell r="E331">
            <v>3.84</v>
          </cell>
          <cell r="F331">
            <v>388</v>
          </cell>
        </row>
        <row r="332">
          <cell r="A332">
            <v>1723</v>
          </cell>
          <cell r="B332" t="str">
            <v>GL-107 (PC)</v>
          </cell>
          <cell r="C332" t="str">
            <v>m</v>
          </cell>
          <cell r="D332">
            <v>151.15</v>
          </cell>
          <cell r="E332">
            <v>1.51</v>
          </cell>
          <cell r="F332">
            <v>152.5</v>
          </cell>
        </row>
        <row r="333">
          <cell r="A333">
            <v>1724</v>
          </cell>
          <cell r="B333" t="str">
            <v>CA-1003 (PC)</v>
          </cell>
          <cell r="C333" t="str">
            <v>m</v>
          </cell>
          <cell r="D333">
            <v>405.74</v>
          </cell>
          <cell r="E333">
            <v>4.0599999999999996</v>
          </cell>
          <cell r="F333">
            <v>410</v>
          </cell>
        </row>
        <row r="334">
          <cell r="A334">
            <v>1725</v>
          </cell>
          <cell r="B334" t="str">
            <v>CA-1004 (PC)</v>
          </cell>
          <cell r="C334" t="str">
            <v>m</v>
          </cell>
          <cell r="D334">
            <v>606.72</v>
          </cell>
          <cell r="E334">
            <v>6.07</v>
          </cell>
          <cell r="F334">
            <v>613</v>
          </cell>
        </row>
        <row r="335">
          <cell r="A335">
            <v>1726</v>
          </cell>
          <cell r="B335" t="str">
            <v>CA-2006 (PC)</v>
          </cell>
          <cell r="C335" t="str">
            <v>m</v>
          </cell>
          <cell r="D335">
            <v>567.37</v>
          </cell>
          <cell r="E335">
            <v>5.67</v>
          </cell>
          <cell r="F335">
            <v>573</v>
          </cell>
        </row>
        <row r="336">
          <cell r="A336">
            <v>1727</v>
          </cell>
          <cell r="B336" t="str">
            <v>DG-02 (PC)</v>
          </cell>
          <cell r="C336" t="str">
            <v>m</v>
          </cell>
          <cell r="D336">
            <v>264.43</v>
          </cell>
          <cell r="E336">
            <v>2.64</v>
          </cell>
          <cell r="F336">
            <v>267</v>
          </cell>
        </row>
        <row r="337">
          <cell r="A337">
            <v>1728</v>
          </cell>
          <cell r="B337" t="str">
            <v>DG-102(PC)</v>
          </cell>
          <cell r="C337" t="str">
            <v>m</v>
          </cell>
          <cell r="D337">
            <v>236.06</v>
          </cell>
          <cell r="E337">
            <v>2.36</v>
          </cell>
          <cell r="F337">
            <v>238.5</v>
          </cell>
        </row>
        <row r="338">
          <cell r="A338">
            <v>1729</v>
          </cell>
          <cell r="B338" t="str">
            <v>CA-1001 (PC)</v>
          </cell>
          <cell r="C338" t="str">
            <v>m</v>
          </cell>
          <cell r="D338">
            <v>655.57</v>
          </cell>
          <cell r="E338">
            <v>6.56</v>
          </cell>
          <cell r="F338">
            <v>662</v>
          </cell>
        </row>
        <row r="339">
          <cell r="A339">
            <v>1730</v>
          </cell>
          <cell r="B339" t="str">
            <v>CA-1002 (PC)</v>
          </cell>
          <cell r="C339" t="str">
            <v>m</v>
          </cell>
          <cell r="D339">
            <v>1024.92</v>
          </cell>
          <cell r="E339">
            <v>10.25</v>
          </cell>
          <cell r="F339">
            <v>1035</v>
          </cell>
        </row>
        <row r="340">
          <cell r="A340">
            <v>1731</v>
          </cell>
          <cell r="B340" t="str">
            <v>100D-3104 (PC)</v>
          </cell>
          <cell r="C340" t="str">
            <v>m</v>
          </cell>
          <cell r="D340">
            <v>694.46</v>
          </cell>
          <cell r="E340">
            <v>6.94</v>
          </cell>
          <cell r="F340">
            <v>701.5</v>
          </cell>
        </row>
        <row r="341">
          <cell r="A341">
            <v>1732</v>
          </cell>
          <cell r="B341" t="str">
            <v>100D-101 (PC)</v>
          </cell>
          <cell r="C341" t="str">
            <v>m</v>
          </cell>
          <cell r="D341">
            <v>948.77</v>
          </cell>
          <cell r="E341">
            <v>9.49</v>
          </cell>
          <cell r="F341">
            <v>958.5</v>
          </cell>
        </row>
        <row r="342">
          <cell r="A342">
            <v>1733</v>
          </cell>
          <cell r="B342" t="str">
            <v>100D-102 (PC)</v>
          </cell>
          <cell r="C342" t="str">
            <v>m</v>
          </cell>
          <cell r="D342">
            <v>993.38</v>
          </cell>
          <cell r="E342">
            <v>9.93</v>
          </cell>
          <cell r="F342">
            <v>1003.5</v>
          </cell>
        </row>
        <row r="343">
          <cell r="A343">
            <v>1734</v>
          </cell>
          <cell r="B343" t="str">
            <v>100D-201 (PC)</v>
          </cell>
          <cell r="C343" t="str">
            <v>m</v>
          </cell>
          <cell r="D343">
            <v>918.31</v>
          </cell>
          <cell r="E343">
            <v>9.18</v>
          </cell>
          <cell r="F343">
            <v>927.5</v>
          </cell>
        </row>
        <row r="344">
          <cell r="A344">
            <v>1735</v>
          </cell>
          <cell r="B344" t="str">
            <v>100D-301 (PC)</v>
          </cell>
          <cell r="C344" t="str">
            <v>m</v>
          </cell>
          <cell r="D344">
            <v>1091.08</v>
          </cell>
          <cell r="E344">
            <v>10.91</v>
          </cell>
          <cell r="F344">
            <v>1102</v>
          </cell>
        </row>
        <row r="345">
          <cell r="A345">
            <v>1736</v>
          </cell>
          <cell r="B345" t="str">
            <v>100D-401 (PC)</v>
          </cell>
          <cell r="C345" t="str">
            <v>m</v>
          </cell>
          <cell r="D345">
            <v>1208</v>
          </cell>
          <cell r="E345">
            <v>12.08</v>
          </cell>
          <cell r="F345">
            <v>1220</v>
          </cell>
        </row>
        <row r="346">
          <cell r="A346">
            <v>1737</v>
          </cell>
          <cell r="B346" t="str">
            <v>100D-501 (PC)</v>
          </cell>
          <cell r="C346" t="str">
            <v>m</v>
          </cell>
          <cell r="D346">
            <v>129.08000000000001</v>
          </cell>
          <cell r="E346">
            <v>1.29</v>
          </cell>
          <cell r="F346">
            <v>137.5</v>
          </cell>
        </row>
        <row r="347">
          <cell r="A347">
            <v>1738</v>
          </cell>
          <cell r="B347" t="str">
            <v>70D-1910 (PC)</v>
          </cell>
          <cell r="C347" t="str">
            <v>m</v>
          </cell>
          <cell r="D347">
            <v>147.69</v>
          </cell>
          <cell r="E347">
            <v>1.48</v>
          </cell>
          <cell r="F347">
            <v>149</v>
          </cell>
        </row>
        <row r="348">
          <cell r="A348">
            <v>1739</v>
          </cell>
          <cell r="B348" t="str">
            <v>100D-3503A (PC)</v>
          </cell>
          <cell r="C348" t="str">
            <v>m</v>
          </cell>
          <cell r="D348">
            <v>688</v>
          </cell>
          <cell r="E348">
            <v>6.88</v>
          </cell>
          <cell r="F348">
            <v>695</v>
          </cell>
        </row>
        <row r="349">
          <cell r="A349">
            <v>1740</v>
          </cell>
          <cell r="B349" t="str">
            <v>100D-3004A (PC)</v>
          </cell>
          <cell r="C349" t="str">
            <v>m</v>
          </cell>
          <cell r="D349">
            <v>811.69</v>
          </cell>
          <cell r="E349">
            <v>8.1199999999999992</v>
          </cell>
          <cell r="F349">
            <v>820</v>
          </cell>
        </row>
        <row r="350">
          <cell r="A350">
            <v>1741</v>
          </cell>
          <cell r="B350" t="str">
            <v>100D-3207 (PC)</v>
          </cell>
          <cell r="C350" t="str">
            <v>m</v>
          </cell>
          <cell r="D350">
            <v>1057.8499999999999</v>
          </cell>
          <cell r="E350">
            <v>10.58</v>
          </cell>
          <cell r="F350">
            <v>1068.5</v>
          </cell>
        </row>
        <row r="351">
          <cell r="A351">
            <v>1742</v>
          </cell>
          <cell r="B351" t="str">
            <v>100D-3503 (PC)</v>
          </cell>
          <cell r="C351" t="str">
            <v>m</v>
          </cell>
          <cell r="D351">
            <v>750.92</v>
          </cell>
          <cell r="E351">
            <v>7.51</v>
          </cell>
          <cell r="F351">
            <v>758.5</v>
          </cell>
        </row>
        <row r="352">
          <cell r="A352">
            <v>1743</v>
          </cell>
          <cell r="B352" t="str">
            <v>100D-1914 (PC)</v>
          </cell>
          <cell r="C352" t="str">
            <v>m</v>
          </cell>
          <cell r="D352">
            <v>143.85</v>
          </cell>
          <cell r="E352">
            <v>1.44</v>
          </cell>
          <cell r="F352">
            <v>145.5</v>
          </cell>
        </row>
        <row r="353">
          <cell r="A353">
            <v>1744</v>
          </cell>
          <cell r="B353" t="str">
            <v>100D-3203 (PC)</v>
          </cell>
          <cell r="C353" t="str">
            <v>m</v>
          </cell>
          <cell r="D353">
            <v>798.46</v>
          </cell>
          <cell r="E353">
            <v>7.98</v>
          </cell>
          <cell r="F353">
            <v>806.5</v>
          </cell>
        </row>
        <row r="354">
          <cell r="A354">
            <v>1745</v>
          </cell>
          <cell r="B354" t="str">
            <v>70S-1002-1(PC)</v>
          </cell>
          <cell r="C354" t="str">
            <v>m</v>
          </cell>
          <cell r="D354">
            <v>372.77</v>
          </cell>
          <cell r="E354">
            <v>3.73</v>
          </cell>
          <cell r="F354">
            <v>376.5</v>
          </cell>
        </row>
        <row r="355">
          <cell r="A355">
            <v>1746</v>
          </cell>
          <cell r="B355" t="str">
            <v>70S-1102-1 (PC)</v>
          </cell>
          <cell r="C355" t="str">
            <v>m</v>
          </cell>
          <cell r="D355">
            <v>272.77</v>
          </cell>
          <cell r="E355">
            <v>2.73</v>
          </cell>
          <cell r="F355">
            <v>275.5</v>
          </cell>
        </row>
        <row r="356">
          <cell r="A356">
            <v>1747</v>
          </cell>
          <cell r="B356" t="str">
            <v>70S-1202-1(PC)</v>
          </cell>
          <cell r="C356" t="str">
            <v>m</v>
          </cell>
          <cell r="D356">
            <v>272.77</v>
          </cell>
          <cell r="E356">
            <v>2.73</v>
          </cell>
          <cell r="F356">
            <v>275.5</v>
          </cell>
        </row>
        <row r="357">
          <cell r="A357">
            <v>1748</v>
          </cell>
          <cell r="B357" t="str">
            <v>70S-1704A (PC)</v>
          </cell>
          <cell r="C357" t="str">
            <v>m</v>
          </cell>
          <cell r="D357">
            <v>508.46</v>
          </cell>
          <cell r="E357">
            <v>5.08</v>
          </cell>
          <cell r="F357">
            <v>513.5</v>
          </cell>
        </row>
        <row r="358">
          <cell r="A358">
            <v>1749</v>
          </cell>
          <cell r="B358" t="str">
            <v>70S-1402-1 (PC)</v>
          </cell>
          <cell r="C358" t="str">
            <v>m</v>
          </cell>
          <cell r="D358">
            <v>345.38</v>
          </cell>
          <cell r="E358">
            <v>3.45</v>
          </cell>
          <cell r="F358">
            <v>349</v>
          </cell>
        </row>
        <row r="359">
          <cell r="A359">
            <v>1750</v>
          </cell>
          <cell r="B359" t="str">
            <v>70S-1801 (PC)</v>
          </cell>
          <cell r="C359" t="str">
            <v>m</v>
          </cell>
          <cell r="D359">
            <v>324.14999999999998</v>
          </cell>
          <cell r="E359">
            <v>3.24</v>
          </cell>
          <cell r="F359">
            <v>327.5</v>
          </cell>
        </row>
        <row r="360">
          <cell r="A360">
            <v>1751</v>
          </cell>
          <cell r="B360" t="str">
            <v>70S-1101-2 (PC)</v>
          </cell>
          <cell r="C360" t="str">
            <v>m</v>
          </cell>
          <cell r="D360">
            <v>537.54</v>
          </cell>
          <cell r="E360">
            <v>5.38</v>
          </cell>
          <cell r="F360">
            <v>543</v>
          </cell>
        </row>
        <row r="361">
          <cell r="A361">
            <v>1752</v>
          </cell>
          <cell r="B361" t="str">
            <v>70S-1001-1 (PC)</v>
          </cell>
          <cell r="C361" t="str">
            <v>m</v>
          </cell>
          <cell r="D361">
            <v>531.23</v>
          </cell>
          <cell r="E361">
            <v>5.31</v>
          </cell>
          <cell r="F361">
            <v>536.5</v>
          </cell>
        </row>
        <row r="362">
          <cell r="A362">
            <v>1753</v>
          </cell>
          <cell r="B362" t="str">
            <v>70S-1704A (PC)</v>
          </cell>
          <cell r="C362" t="str">
            <v>m</v>
          </cell>
          <cell r="D362">
            <v>508.46</v>
          </cell>
          <cell r="E362">
            <v>5.08</v>
          </cell>
          <cell r="F362">
            <v>513.5</v>
          </cell>
        </row>
        <row r="363">
          <cell r="A363">
            <v>1754</v>
          </cell>
          <cell r="B363" t="str">
            <v>70S-1401-1 (PC)</v>
          </cell>
          <cell r="C363" t="str">
            <v>m</v>
          </cell>
          <cell r="D363">
            <v>353.23</v>
          </cell>
          <cell r="E363">
            <v>3.53</v>
          </cell>
          <cell r="F363">
            <v>357</v>
          </cell>
        </row>
        <row r="364">
          <cell r="A364">
            <v>1755</v>
          </cell>
          <cell r="B364" t="str">
            <v>70S-1201-1 (PC)</v>
          </cell>
          <cell r="C364" t="str">
            <v>m</v>
          </cell>
          <cell r="D364">
            <v>432.15</v>
          </cell>
          <cell r="E364">
            <v>4.32</v>
          </cell>
          <cell r="F364">
            <v>436.5</v>
          </cell>
        </row>
        <row r="365">
          <cell r="A365">
            <v>1756</v>
          </cell>
          <cell r="B365" t="str">
            <v>70S-1604 (PC)</v>
          </cell>
          <cell r="C365" t="str">
            <v>m</v>
          </cell>
          <cell r="D365">
            <v>422.92</v>
          </cell>
          <cell r="E365">
            <v>4.2300000000000004</v>
          </cell>
          <cell r="F365">
            <v>427</v>
          </cell>
        </row>
        <row r="366">
          <cell r="A366">
            <v>1757</v>
          </cell>
          <cell r="B366" t="str">
            <v>70S-1801 (PC)</v>
          </cell>
          <cell r="C366" t="str">
            <v>m</v>
          </cell>
          <cell r="D366">
            <v>324.14999999999998</v>
          </cell>
          <cell r="E366">
            <v>3.24</v>
          </cell>
          <cell r="F366">
            <v>327.5</v>
          </cell>
        </row>
        <row r="367">
          <cell r="A367">
            <v>1758</v>
          </cell>
          <cell r="B367" t="str">
            <v>PT-5157 (PC)</v>
          </cell>
          <cell r="C367" t="str">
            <v>m</v>
          </cell>
          <cell r="D367">
            <v>354.75</v>
          </cell>
          <cell r="E367">
            <v>3.55</v>
          </cell>
          <cell r="F367">
            <v>358.5</v>
          </cell>
        </row>
        <row r="368">
          <cell r="A368">
            <v>1759</v>
          </cell>
          <cell r="B368" t="str">
            <v>PT-5158 (PC)</v>
          </cell>
          <cell r="C368" t="str">
            <v>m</v>
          </cell>
          <cell r="D368">
            <v>264.10000000000002</v>
          </cell>
          <cell r="E368">
            <v>2.64</v>
          </cell>
          <cell r="F368">
            <v>267</v>
          </cell>
        </row>
        <row r="369">
          <cell r="A369">
            <v>1760</v>
          </cell>
          <cell r="B369" t="str">
            <v>PT-5153 (PC)</v>
          </cell>
          <cell r="C369" t="str">
            <v>m</v>
          </cell>
          <cell r="D369">
            <v>106.23</v>
          </cell>
          <cell r="E369">
            <v>1.06</v>
          </cell>
          <cell r="F369">
            <v>107.5</v>
          </cell>
        </row>
        <row r="370">
          <cell r="A370">
            <v>1761</v>
          </cell>
          <cell r="B370" t="str">
            <v>PT-5154 (PC)</v>
          </cell>
          <cell r="C370" t="str">
            <v>m</v>
          </cell>
          <cell r="D370">
            <v>194.75</v>
          </cell>
          <cell r="E370">
            <v>1.95</v>
          </cell>
          <cell r="F370">
            <v>196.5</v>
          </cell>
        </row>
        <row r="371">
          <cell r="A371">
            <v>1762</v>
          </cell>
          <cell r="B371" t="str">
            <v>A-110A (MF)</v>
          </cell>
          <cell r="C371" t="str">
            <v>m</v>
          </cell>
          <cell r="D371">
            <v>257.05</v>
          </cell>
          <cell r="E371">
            <v>2.57</v>
          </cell>
          <cell r="F371">
            <v>259.5</v>
          </cell>
        </row>
        <row r="372">
          <cell r="B372" t="str">
            <v>Accessories</v>
          </cell>
        </row>
        <row r="373">
          <cell r="A373">
            <v>1801</v>
          </cell>
          <cell r="B373" t="str">
            <v>Sliding lock</v>
          </cell>
          <cell r="C373" t="str">
            <v>Nr</v>
          </cell>
          <cell r="D373">
            <v>95</v>
          </cell>
          <cell r="E373">
            <v>0.95</v>
          </cell>
          <cell r="F373">
            <v>96</v>
          </cell>
        </row>
        <row r="374">
          <cell r="A374">
            <v>1802</v>
          </cell>
          <cell r="B374" t="str">
            <v>Roller-70mm</v>
          </cell>
          <cell r="C374" t="str">
            <v>Nr</v>
          </cell>
          <cell r="D374">
            <v>95</v>
          </cell>
          <cell r="E374">
            <v>0.95</v>
          </cell>
          <cell r="F374">
            <v>96</v>
          </cell>
        </row>
        <row r="375">
          <cell r="A375">
            <v>1803</v>
          </cell>
          <cell r="B375" t="str">
            <v>S.T. Screw - 1" No.8</v>
          </cell>
          <cell r="C375" t="str">
            <v>Nr</v>
          </cell>
          <cell r="D375">
            <v>2</v>
          </cell>
          <cell r="E375">
            <v>0.02</v>
          </cell>
          <cell r="F375">
            <v>2</v>
          </cell>
        </row>
        <row r="376">
          <cell r="A376">
            <v>1804</v>
          </cell>
          <cell r="B376" t="str">
            <v>Gasket</v>
          </cell>
          <cell r="C376" t="str">
            <v>m</v>
          </cell>
          <cell r="D376">
            <v>18</v>
          </cell>
          <cell r="E376">
            <v>0.18</v>
          </cell>
          <cell r="F376">
            <v>18.5</v>
          </cell>
        </row>
        <row r="377">
          <cell r="A377">
            <v>1805</v>
          </cell>
          <cell r="B377" t="str">
            <v>Wool felt</v>
          </cell>
          <cell r="C377" t="str">
            <v>m</v>
          </cell>
          <cell r="D377">
            <v>50.5</v>
          </cell>
          <cell r="E377">
            <v>0.51</v>
          </cell>
          <cell r="F377">
            <v>51</v>
          </cell>
        </row>
        <row r="378">
          <cell r="A378">
            <v>1806</v>
          </cell>
          <cell r="B378" t="str">
            <v>Pop rivet 5/32"x1/2"</v>
          </cell>
          <cell r="C378" t="str">
            <v>Nr</v>
          </cell>
          <cell r="D378">
            <v>1.3</v>
          </cell>
          <cell r="E378">
            <v>0.01</v>
          </cell>
          <cell r="F378">
            <v>1.3</v>
          </cell>
        </row>
        <row r="379">
          <cell r="A379">
            <v>1807</v>
          </cell>
          <cell r="B379" t="str">
            <v>Plastic guide</v>
          </cell>
          <cell r="C379" t="str">
            <v>Nr</v>
          </cell>
          <cell r="D379">
            <v>1.7</v>
          </cell>
          <cell r="E379">
            <v>0.02</v>
          </cell>
          <cell r="F379">
            <v>1.75</v>
          </cell>
        </row>
        <row r="380">
          <cell r="A380">
            <v>1808</v>
          </cell>
          <cell r="B380" t="str">
            <v>Cap 3/8" dia.</v>
          </cell>
          <cell r="C380" t="str">
            <v>Nr</v>
          </cell>
          <cell r="D380">
            <v>2.75</v>
          </cell>
          <cell r="E380">
            <v>0.03</v>
          </cell>
          <cell r="F380">
            <v>2.75</v>
          </cell>
        </row>
        <row r="381">
          <cell r="A381">
            <v>1809</v>
          </cell>
          <cell r="B381" t="str">
            <v>S.T. Screw - 2" No.8</v>
          </cell>
          <cell r="C381" t="str">
            <v>Nr</v>
          </cell>
          <cell r="D381">
            <v>35</v>
          </cell>
          <cell r="E381">
            <v>0.35</v>
          </cell>
          <cell r="F381">
            <v>35.5</v>
          </cell>
        </row>
        <row r="382">
          <cell r="A382">
            <v>1810</v>
          </cell>
          <cell r="B382" t="str">
            <v>Casement lock</v>
          </cell>
          <cell r="C382" t="str">
            <v>Nr</v>
          </cell>
          <cell r="D382">
            <v>165</v>
          </cell>
          <cell r="E382">
            <v>1.65</v>
          </cell>
          <cell r="F382">
            <v>166.5</v>
          </cell>
        </row>
        <row r="383">
          <cell r="A383">
            <v>1811</v>
          </cell>
          <cell r="B383" t="str">
            <v>Bar hinges</v>
          </cell>
          <cell r="C383" t="str">
            <v>Pair</v>
          </cell>
          <cell r="D383">
            <v>440</v>
          </cell>
          <cell r="E383">
            <v>4.4000000000000004</v>
          </cell>
          <cell r="F383">
            <v>444.5</v>
          </cell>
        </row>
        <row r="384">
          <cell r="A384">
            <v>1812</v>
          </cell>
          <cell r="B384" t="str">
            <v>Weather strip</v>
          </cell>
          <cell r="C384" t="str">
            <v>m</v>
          </cell>
          <cell r="D384">
            <v>42</v>
          </cell>
          <cell r="E384">
            <v>0.42</v>
          </cell>
          <cell r="F384">
            <v>42.5</v>
          </cell>
        </row>
        <row r="385">
          <cell r="A385">
            <v>1813</v>
          </cell>
          <cell r="B385" t="str">
            <v>Pop rivet 3/16"x1/2"</v>
          </cell>
          <cell r="C385" t="str">
            <v>Nr</v>
          </cell>
          <cell r="D385">
            <v>2.25</v>
          </cell>
          <cell r="E385">
            <v>0.02</v>
          </cell>
          <cell r="F385">
            <v>2.5</v>
          </cell>
        </row>
        <row r="386">
          <cell r="A386">
            <v>1814</v>
          </cell>
          <cell r="B386" t="str">
            <v>S.T. Screw - No.8 x 1/2'</v>
          </cell>
          <cell r="C386" t="str">
            <v>Nr</v>
          </cell>
          <cell r="D386">
            <v>1.5</v>
          </cell>
          <cell r="E386">
            <v>0.02</v>
          </cell>
          <cell r="F386">
            <v>1.5</v>
          </cell>
        </row>
        <row r="387">
          <cell r="A387">
            <v>1815</v>
          </cell>
          <cell r="B387" t="str">
            <v>Door lock</v>
          </cell>
          <cell r="C387" t="str">
            <v>Nr</v>
          </cell>
          <cell r="D387">
            <v>895</v>
          </cell>
          <cell r="E387">
            <v>8.9499999999999993</v>
          </cell>
          <cell r="F387">
            <v>904</v>
          </cell>
        </row>
        <row r="388">
          <cell r="A388">
            <v>1816</v>
          </cell>
          <cell r="B388" t="str">
            <v>Butt hinge</v>
          </cell>
          <cell r="C388" t="str">
            <v>Nr</v>
          </cell>
          <cell r="D388">
            <v>100</v>
          </cell>
          <cell r="E388">
            <v>1</v>
          </cell>
          <cell r="F388">
            <v>101</v>
          </cell>
        </row>
        <row r="389">
          <cell r="A389">
            <v>1817</v>
          </cell>
          <cell r="B389" t="str">
            <v>Door handle with cap nut</v>
          </cell>
          <cell r="C389" t="str">
            <v>Pair</v>
          </cell>
          <cell r="D389">
            <v>1074</v>
          </cell>
          <cell r="E389">
            <v>10.74</v>
          </cell>
          <cell r="F389">
            <v>1085</v>
          </cell>
        </row>
        <row r="390">
          <cell r="A390">
            <v>1818</v>
          </cell>
          <cell r="B390" t="str">
            <v>Rivert (C Sk) 5/32"x1/2"</v>
          </cell>
          <cell r="C390" t="str">
            <v>Nr</v>
          </cell>
          <cell r="D390">
            <v>1.25</v>
          </cell>
          <cell r="E390">
            <v>0.01</v>
          </cell>
          <cell r="F390">
            <v>1.25</v>
          </cell>
        </row>
        <row r="391">
          <cell r="A391">
            <v>1819</v>
          </cell>
          <cell r="B391" t="str">
            <v>Threaded bar with nut</v>
          </cell>
          <cell r="C391" t="str">
            <v>m</v>
          </cell>
          <cell r="D391">
            <v>224</v>
          </cell>
          <cell r="E391">
            <v>2.2400000000000002</v>
          </cell>
          <cell r="F391">
            <v>226.5</v>
          </cell>
        </row>
        <row r="392">
          <cell r="A392">
            <v>1820</v>
          </cell>
          <cell r="B392" t="str">
            <v>Door closer</v>
          </cell>
          <cell r="C392" t="str">
            <v>Nr</v>
          </cell>
          <cell r="D392">
            <v>2250</v>
          </cell>
          <cell r="E392">
            <v>22.5</v>
          </cell>
          <cell r="F392">
            <v>2272.5</v>
          </cell>
        </row>
        <row r="393">
          <cell r="A393">
            <v>1821</v>
          </cell>
          <cell r="B393" t="str">
            <v>Pop rivet 1/8"x1/2"</v>
          </cell>
          <cell r="C393" t="str">
            <v>Nr</v>
          </cell>
          <cell r="D393">
            <v>1.25</v>
          </cell>
          <cell r="E393">
            <v>0.01</v>
          </cell>
          <cell r="F393">
            <v>1.25</v>
          </cell>
        </row>
        <row r="394">
          <cell r="A394">
            <v>1822</v>
          </cell>
          <cell r="B394" t="str">
            <v>G. I. Channel</v>
          </cell>
          <cell r="C394" t="str">
            <v>m</v>
          </cell>
          <cell r="D394">
            <v>168</v>
          </cell>
          <cell r="E394">
            <v>1.68</v>
          </cell>
          <cell r="F394">
            <v>169.5</v>
          </cell>
        </row>
        <row r="395">
          <cell r="A395">
            <v>1823</v>
          </cell>
          <cell r="B395" t="str">
            <v>White board, chip board or melamine board</v>
          </cell>
          <cell r="C395" t="str">
            <v>m2</v>
          </cell>
          <cell r="D395">
            <v>253</v>
          </cell>
          <cell r="E395">
            <v>2.5299999999999998</v>
          </cell>
          <cell r="F395">
            <v>255.5</v>
          </cell>
        </row>
        <row r="396">
          <cell r="B396" t="str">
            <v>Glazier</v>
          </cell>
        </row>
        <row r="397">
          <cell r="A397">
            <v>1901</v>
          </cell>
          <cell r="B397" t="str">
            <v>5mm thick figured glass panes</v>
          </cell>
          <cell r="C397" t="str">
            <v>m2</v>
          </cell>
          <cell r="D397">
            <v>1184</v>
          </cell>
          <cell r="E397">
            <v>11.84</v>
          </cell>
          <cell r="F397">
            <v>1196</v>
          </cell>
        </row>
        <row r="398">
          <cell r="A398">
            <v>1902</v>
          </cell>
          <cell r="B398" t="str">
            <v>3mm thick figured glass panes</v>
          </cell>
          <cell r="C398" t="str">
            <v>m2</v>
          </cell>
          <cell r="D398">
            <v>592</v>
          </cell>
          <cell r="E398">
            <v>5.92</v>
          </cell>
          <cell r="F398">
            <v>598</v>
          </cell>
        </row>
        <row r="399">
          <cell r="A399">
            <v>1903</v>
          </cell>
          <cell r="B399" t="str">
            <v>5mm thick clear glass panes</v>
          </cell>
          <cell r="C399" t="str">
            <v>m2</v>
          </cell>
          <cell r="D399">
            <v>861</v>
          </cell>
          <cell r="E399">
            <v>8.61</v>
          </cell>
          <cell r="F399">
            <v>869.5</v>
          </cell>
        </row>
        <row r="400">
          <cell r="A400">
            <v>1904</v>
          </cell>
          <cell r="B400" t="str">
            <v>3mm thick clear glass panes</v>
          </cell>
          <cell r="C400" t="str">
            <v>m2</v>
          </cell>
          <cell r="D400">
            <v>646</v>
          </cell>
          <cell r="E400">
            <v>6.46</v>
          </cell>
          <cell r="F400">
            <v>652.5</v>
          </cell>
        </row>
        <row r="401">
          <cell r="A401">
            <v>1905</v>
          </cell>
          <cell r="B401" t="str">
            <v>5mm thick tinted glass panes</v>
          </cell>
          <cell r="C401" t="str">
            <v>m2</v>
          </cell>
          <cell r="D401">
            <v>1140</v>
          </cell>
          <cell r="E401">
            <v>11.4</v>
          </cell>
          <cell r="F401">
            <v>1151.5</v>
          </cell>
        </row>
        <row r="402">
          <cell r="A402">
            <v>1906</v>
          </cell>
          <cell r="B402" t="str">
            <v>3mm thick tinted glass panes</v>
          </cell>
          <cell r="C402" t="str">
            <v>m2</v>
          </cell>
          <cell r="D402">
            <v>750</v>
          </cell>
          <cell r="E402">
            <v>7.5</v>
          </cell>
          <cell r="F402">
            <v>757.5</v>
          </cell>
        </row>
        <row r="403">
          <cell r="A403">
            <v>1907</v>
          </cell>
          <cell r="B403" t="str">
            <v>12mmx12mm teak beading</v>
          </cell>
          <cell r="C403" t="str">
            <v>m</v>
          </cell>
          <cell r="D403">
            <v>5</v>
          </cell>
          <cell r="E403">
            <v>0.05</v>
          </cell>
          <cell r="F403">
            <v>5</v>
          </cell>
        </row>
        <row r="404">
          <cell r="B404" t="str">
            <v>Plasterer</v>
          </cell>
          <cell r="F404">
            <v>0</v>
          </cell>
        </row>
        <row r="405">
          <cell r="A405">
            <v>2001</v>
          </cell>
          <cell r="B405" t="str">
            <v>Lime</v>
          </cell>
          <cell r="C405" t="str">
            <v>kg</v>
          </cell>
          <cell r="D405">
            <v>20</v>
          </cell>
          <cell r="E405">
            <v>0.2</v>
          </cell>
          <cell r="F405">
            <v>20.5</v>
          </cell>
        </row>
        <row r="406">
          <cell r="B406" t="str">
            <v>Plumber</v>
          </cell>
        </row>
        <row r="407">
          <cell r="A407">
            <v>2101</v>
          </cell>
          <cell r="B407" t="str">
            <v>12mm (1/2") ball valve - Brass</v>
          </cell>
          <cell r="C407" t="str">
            <v>Nr</v>
          </cell>
          <cell r="D407">
            <v>401.79</v>
          </cell>
          <cell r="E407">
            <v>4.0199999999999996</v>
          </cell>
          <cell r="F407">
            <v>530.5</v>
          </cell>
        </row>
        <row r="408">
          <cell r="A408">
            <v>2102</v>
          </cell>
          <cell r="B408" t="str">
            <v>12mm (1/2") ball valve - PVC</v>
          </cell>
          <cell r="C408" t="str">
            <v>Nr</v>
          </cell>
          <cell r="D408">
            <v>95</v>
          </cell>
          <cell r="E408">
            <v>0.95</v>
          </cell>
          <cell r="F408">
            <v>96</v>
          </cell>
        </row>
        <row r="409">
          <cell r="A409">
            <v>2103</v>
          </cell>
          <cell r="B409" t="str">
            <v>20mm (3/4") ball valve - Brass</v>
          </cell>
          <cell r="C409" t="str">
            <v>Nr</v>
          </cell>
          <cell r="D409">
            <v>513.39</v>
          </cell>
          <cell r="E409">
            <v>5.13</v>
          </cell>
          <cell r="F409">
            <v>518.52</v>
          </cell>
        </row>
        <row r="410">
          <cell r="A410">
            <v>2104</v>
          </cell>
          <cell r="B410" t="str">
            <v>20mm (3/4") ball valve - PVC</v>
          </cell>
          <cell r="C410" t="str">
            <v>Nr</v>
          </cell>
          <cell r="D410">
            <v>140</v>
          </cell>
          <cell r="E410">
            <v>1.4</v>
          </cell>
          <cell r="F410">
            <v>141.5</v>
          </cell>
        </row>
        <row r="411">
          <cell r="A411">
            <v>2105</v>
          </cell>
          <cell r="B411" t="str">
            <v>25mm (1") ball valve - Brass</v>
          </cell>
          <cell r="C411" t="str">
            <v>Nr</v>
          </cell>
          <cell r="D411">
            <v>848.21</v>
          </cell>
          <cell r="E411">
            <v>8.48</v>
          </cell>
          <cell r="F411">
            <v>856.69</v>
          </cell>
        </row>
        <row r="412">
          <cell r="A412">
            <v>2106</v>
          </cell>
          <cell r="B412" t="str">
            <v>25mm (1") ball valve - PVC</v>
          </cell>
          <cell r="C412" t="str">
            <v>Nr</v>
          </cell>
          <cell r="D412">
            <v>190</v>
          </cell>
          <cell r="E412">
            <v>1.9</v>
          </cell>
          <cell r="F412">
            <v>192</v>
          </cell>
        </row>
        <row r="413">
          <cell r="A413">
            <v>2107</v>
          </cell>
          <cell r="B413" t="str">
            <v>38mm (1 1/2") ball valve - Brass</v>
          </cell>
          <cell r="C413" t="str">
            <v>Nr</v>
          </cell>
          <cell r="D413">
            <v>2053.5700000000002</v>
          </cell>
          <cell r="E413">
            <v>20.54</v>
          </cell>
          <cell r="F413">
            <v>2074.11</v>
          </cell>
        </row>
        <row r="414">
          <cell r="A414">
            <v>2108</v>
          </cell>
          <cell r="B414" t="str">
            <v>38mm (1 1/2") ball valve - PVC</v>
          </cell>
          <cell r="C414" t="str">
            <v>Nr</v>
          </cell>
          <cell r="D414">
            <v>495</v>
          </cell>
          <cell r="E414">
            <v>4.95</v>
          </cell>
          <cell r="F414">
            <v>500</v>
          </cell>
        </row>
        <row r="415">
          <cell r="A415">
            <v>2109</v>
          </cell>
          <cell r="B415" t="str">
            <v>12mm (1/2") bib tap - Brass</v>
          </cell>
          <cell r="C415" t="str">
            <v>Nr</v>
          </cell>
          <cell r="D415">
            <v>1250</v>
          </cell>
          <cell r="E415">
            <v>12.5</v>
          </cell>
          <cell r="F415">
            <v>1262.5</v>
          </cell>
        </row>
        <row r="416">
          <cell r="A416">
            <v>2110</v>
          </cell>
          <cell r="B416" t="str">
            <v>12mm (1/2") bib tap - Chromium Plated</v>
          </cell>
          <cell r="C416" t="str">
            <v>Nr</v>
          </cell>
          <cell r="D416">
            <v>1750</v>
          </cell>
          <cell r="E416">
            <v>17.5</v>
          </cell>
          <cell r="F416">
            <v>1767.5</v>
          </cell>
        </row>
        <row r="417">
          <cell r="A417">
            <v>2111</v>
          </cell>
          <cell r="B417" t="str">
            <v>12mm (1/2") bib tap - PVC</v>
          </cell>
          <cell r="C417" t="str">
            <v>Nr</v>
          </cell>
          <cell r="D417">
            <v>90</v>
          </cell>
          <cell r="E417">
            <v>0.9</v>
          </cell>
          <cell r="F417">
            <v>91</v>
          </cell>
        </row>
        <row r="418">
          <cell r="A418">
            <v>2112</v>
          </cell>
          <cell r="B418" t="str">
            <v>12mm (1/2") gate valve - Brass</v>
          </cell>
          <cell r="C418" t="str">
            <v>Nr</v>
          </cell>
          <cell r="D418">
            <v>500</v>
          </cell>
          <cell r="E418">
            <v>5</v>
          </cell>
          <cell r="F418">
            <v>505</v>
          </cell>
        </row>
        <row r="419">
          <cell r="A419">
            <v>2113</v>
          </cell>
          <cell r="B419" t="str">
            <v>12mm (1/2") gate valve - PVC</v>
          </cell>
          <cell r="C419" t="str">
            <v>Nr</v>
          </cell>
          <cell r="D419">
            <v>90</v>
          </cell>
          <cell r="E419">
            <v>0.9</v>
          </cell>
          <cell r="F419">
            <v>91</v>
          </cell>
        </row>
        <row r="420">
          <cell r="A420">
            <v>2114</v>
          </cell>
          <cell r="B420" t="str">
            <v>20mm (3/4") gate valve - Brass</v>
          </cell>
          <cell r="C420" t="str">
            <v>Nr</v>
          </cell>
          <cell r="D420">
            <v>625</v>
          </cell>
          <cell r="E420">
            <v>6.25</v>
          </cell>
          <cell r="F420">
            <v>631.5</v>
          </cell>
        </row>
        <row r="421">
          <cell r="A421">
            <v>2115</v>
          </cell>
          <cell r="B421" t="str">
            <v>20mm (3/4") gate valve - PVC</v>
          </cell>
          <cell r="C421" t="str">
            <v>Nr</v>
          </cell>
          <cell r="D421">
            <v>165</v>
          </cell>
          <cell r="E421">
            <v>1.65</v>
          </cell>
          <cell r="F421">
            <v>166.5</v>
          </cell>
        </row>
        <row r="422">
          <cell r="A422">
            <v>2116</v>
          </cell>
          <cell r="B422" t="str">
            <v>25mm (1") gate valve - Brass</v>
          </cell>
          <cell r="C422" t="str">
            <v>Nr</v>
          </cell>
          <cell r="D422">
            <v>1000</v>
          </cell>
          <cell r="E422">
            <v>10</v>
          </cell>
          <cell r="F422">
            <v>1010</v>
          </cell>
        </row>
        <row r="423">
          <cell r="A423">
            <v>2117</v>
          </cell>
          <cell r="B423" t="str">
            <v>25mm (1") gate valve - PVC</v>
          </cell>
          <cell r="C423" t="str">
            <v>Nr</v>
          </cell>
          <cell r="D423">
            <v>185</v>
          </cell>
          <cell r="E423">
            <v>1.85</v>
          </cell>
          <cell r="F423">
            <v>187</v>
          </cell>
        </row>
        <row r="424">
          <cell r="A424">
            <v>2118</v>
          </cell>
          <cell r="B424" t="str">
            <v>38mm (1 1/2") gate valve - Brass</v>
          </cell>
          <cell r="C424" t="str">
            <v>Nr</v>
          </cell>
          <cell r="D424">
            <v>1500</v>
          </cell>
          <cell r="E424">
            <v>15</v>
          </cell>
          <cell r="F424">
            <v>1515</v>
          </cell>
        </row>
        <row r="425">
          <cell r="A425">
            <v>2119</v>
          </cell>
          <cell r="B425" t="str">
            <v>38mm (1 1/2") gate valve - PVC</v>
          </cell>
          <cell r="C425" t="str">
            <v>Nr</v>
          </cell>
          <cell r="D425">
            <v>410</v>
          </cell>
          <cell r="E425">
            <v>4.0999999999999996</v>
          </cell>
          <cell r="F425">
            <v>414</v>
          </cell>
        </row>
        <row r="426">
          <cell r="A426">
            <v>2120</v>
          </cell>
          <cell r="B426" t="str">
            <v>20mm (1/2") Type 1000 PVC pipes</v>
          </cell>
          <cell r="C426" t="str">
            <v>m</v>
          </cell>
          <cell r="D426">
            <v>45.75</v>
          </cell>
          <cell r="E426">
            <v>0.46</v>
          </cell>
          <cell r="F426">
            <v>46</v>
          </cell>
        </row>
        <row r="427">
          <cell r="A427">
            <v>2121</v>
          </cell>
          <cell r="B427" t="str">
            <v>20mm (1/2") Type 600 PVC pipes</v>
          </cell>
          <cell r="C427" t="str">
            <v>m</v>
          </cell>
          <cell r="D427" t="str">
            <v>…</v>
          </cell>
        </row>
        <row r="428">
          <cell r="A428">
            <v>2122</v>
          </cell>
          <cell r="B428" t="str">
            <v>20mm (1/2") Type 400 PVC pipes</v>
          </cell>
          <cell r="C428" t="str">
            <v>m</v>
          </cell>
          <cell r="D428" t="str">
            <v>….</v>
          </cell>
        </row>
        <row r="429">
          <cell r="A429">
            <v>2123</v>
          </cell>
          <cell r="B429" t="str">
            <v>25mm (3/4") Type 1000 PVC pipes</v>
          </cell>
          <cell r="C429" t="str">
            <v>m</v>
          </cell>
          <cell r="D429">
            <v>115.25</v>
          </cell>
          <cell r="E429">
            <v>1.1499999999999999</v>
          </cell>
          <cell r="F429">
            <v>101.5</v>
          </cell>
        </row>
        <row r="430">
          <cell r="A430">
            <v>2124</v>
          </cell>
          <cell r="B430" t="str">
            <v>25mm (3/4") Type 600 PVC pipes</v>
          </cell>
          <cell r="C430" t="str">
            <v>m</v>
          </cell>
          <cell r="D430" t="str">
            <v>….</v>
          </cell>
        </row>
        <row r="431">
          <cell r="A431">
            <v>2125</v>
          </cell>
          <cell r="B431" t="str">
            <v>25mm (3/4") Type 400 PVC pipes</v>
          </cell>
          <cell r="C431" t="str">
            <v>m</v>
          </cell>
          <cell r="D431" t="str">
            <v>…..</v>
          </cell>
        </row>
        <row r="432">
          <cell r="A432">
            <v>2126</v>
          </cell>
          <cell r="B432" t="str">
            <v>32mm (1") Type 1000 PVC pipes</v>
          </cell>
          <cell r="C432" t="str">
            <v>m</v>
          </cell>
          <cell r="D432">
            <v>181.25</v>
          </cell>
          <cell r="E432">
            <v>1.81</v>
          </cell>
          <cell r="F432">
            <v>165.5</v>
          </cell>
        </row>
        <row r="433">
          <cell r="A433">
            <v>2127</v>
          </cell>
          <cell r="B433" t="str">
            <v>32mm (1") Type 600 PVC pipes</v>
          </cell>
          <cell r="C433" t="str">
            <v>m</v>
          </cell>
          <cell r="D433">
            <v>82</v>
          </cell>
          <cell r="E433">
            <v>0.82</v>
          </cell>
          <cell r="F433">
            <v>80.5</v>
          </cell>
        </row>
        <row r="434">
          <cell r="A434">
            <v>2128</v>
          </cell>
          <cell r="B434" t="str">
            <v>32mm (1") Type 400 PVC pipes</v>
          </cell>
          <cell r="C434" t="str">
            <v>m</v>
          </cell>
          <cell r="D434" t="str">
            <v>….</v>
          </cell>
        </row>
        <row r="435">
          <cell r="A435">
            <v>2129</v>
          </cell>
          <cell r="B435" t="str">
            <v>40mm (1 1/4") Type 1000 PVC pipes</v>
          </cell>
          <cell r="C435" t="str">
            <v>m</v>
          </cell>
          <cell r="D435">
            <v>245</v>
          </cell>
          <cell r="E435">
            <v>2.4500000000000002</v>
          </cell>
          <cell r="F435">
            <v>223.5</v>
          </cell>
        </row>
        <row r="436">
          <cell r="A436">
            <v>2130</v>
          </cell>
          <cell r="B436" t="str">
            <v>40mm (1 1/4") Type 600 PVC pipes</v>
          </cell>
          <cell r="C436" t="str">
            <v>m</v>
          </cell>
          <cell r="D436">
            <v>189.5</v>
          </cell>
          <cell r="E436">
            <v>1.9</v>
          </cell>
          <cell r="F436">
            <v>156.5</v>
          </cell>
        </row>
        <row r="437">
          <cell r="A437">
            <v>2131</v>
          </cell>
          <cell r="B437" t="str">
            <v>40mm (1 1/4") Type 400 PVC pipes</v>
          </cell>
          <cell r="C437" t="str">
            <v>m</v>
          </cell>
          <cell r="D437" t="str">
            <v>…..</v>
          </cell>
        </row>
        <row r="438">
          <cell r="A438">
            <v>2132</v>
          </cell>
          <cell r="B438" t="str">
            <v>50mm (1 1/2") Type 1000 PVC pipes</v>
          </cell>
          <cell r="C438" t="str">
            <v>m</v>
          </cell>
          <cell r="D438">
            <v>337.75</v>
          </cell>
          <cell r="E438">
            <v>3.38</v>
          </cell>
          <cell r="F438">
            <v>320.5</v>
          </cell>
        </row>
        <row r="439">
          <cell r="A439">
            <v>2133</v>
          </cell>
          <cell r="B439" t="str">
            <v>50mm (1 1/2") Type 600 PVC pipes</v>
          </cell>
          <cell r="C439" t="str">
            <v>m</v>
          </cell>
          <cell r="D439">
            <v>238</v>
          </cell>
          <cell r="E439">
            <v>2.38</v>
          </cell>
          <cell r="F439">
            <v>211</v>
          </cell>
        </row>
        <row r="440">
          <cell r="A440">
            <v>2134</v>
          </cell>
          <cell r="B440" t="str">
            <v>50mm (1 1/2") Type 400 PVC pipes</v>
          </cell>
          <cell r="C440" t="str">
            <v>m</v>
          </cell>
          <cell r="D440">
            <v>182.25</v>
          </cell>
          <cell r="E440">
            <v>1.82</v>
          </cell>
          <cell r="F440">
            <v>148</v>
          </cell>
        </row>
        <row r="441">
          <cell r="A441">
            <v>2135</v>
          </cell>
          <cell r="B441" t="str">
            <v>63mm (2") Type 1000 PVC pipes</v>
          </cell>
          <cell r="C441" t="str">
            <v>m</v>
          </cell>
          <cell r="D441">
            <v>572.75</v>
          </cell>
          <cell r="E441">
            <v>5.73</v>
          </cell>
          <cell r="F441">
            <v>543</v>
          </cell>
        </row>
        <row r="442">
          <cell r="A442">
            <v>2136</v>
          </cell>
          <cell r="B442" t="str">
            <v>63mm (2") Type 600 PVC pipes</v>
          </cell>
          <cell r="C442" t="str">
            <v>m</v>
          </cell>
          <cell r="D442">
            <v>388</v>
          </cell>
          <cell r="E442">
            <v>3.88</v>
          </cell>
          <cell r="F442">
            <v>346</v>
          </cell>
        </row>
        <row r="443">
          <cell r="A443">
            <v>2137</v>
          </cell>
          <cell r="B443" t="str">
            <v>63mm (2") Type 400 PVC pipes</v>
          </cell>
          <cell r="C443" t="str">
            <v>m</v>
          </cell>
          <cell r="D443">
            <v>344</v>
          </cell>
          <cell r="E443">
            <v>3.44</v>
          </cell>
          <cell r="F443">
            <v>270</v>
          </cell>
        </row>
        <row r="444">
          <cell r="A444">
            <v>2138</v>
          </cell>
          <cell r="B444" t="str">
            <v>75mm (2 1/2") Type 600 PVC pipes</v>
          </cell>
          <cell r="C444" t="str">
            <v>m</v>
          </cell>
          <cell r="D444">
            <v>720.5</v>
          </cell>
          <cell r="E444">
            <v>7.21</v>
          </cell>
          <cell r="F444">
            <v>693</v>
          </cell>
        </row>
        <row r="445">
          <cell r="A445">
            <v>2139</v>
          </cell>
          <cell r="B445" t="str">
            <v>75mm (2 1/2") Type 400 PVC pipes</v>
          </cell>
          <cell r="C445" t="str">
            <v>m</v>
          </cell>
          <cell r="D445">
            <v>500</v>
          </cell>
          <cell r="E445">
            <v>5</v>
          </cell>
          <cell r="F445">
            <v>439.5</v>
          </cell>
        </row>
        <row r="446">
          <cell r="A446">
            <v>2140</v>
          </cell>
          <cell r="B446" t="str">
            <v>90mm (3") Type 600 PVC pipes</v>
          </cell>
          <cell r="C446" t="str">
            <v>m</v>
          </cell>
          <cell r="D446">
            <v>732.5</v>
          </cell>
          <cell r="E446">
            <v>7.33</v>
          </cell>
          <cell r="F446">
            <v>915</v>
          </cell>
        </row>
        <row r="447">
          <cell r="A447">
            <v>2141</v>
          </cell>
          <cell r="B447" t="str">
            <v>90mm (3") Type 400 PVC pipes</v>
          </cell>
          <cell r="C447" t="str">
            <v>m</v>
          </cell>
          <cell r="D447">
            <v>555</v>
          </cell>
          <cell r="E447">
            <v>5.55</v>
          </cell>
          <cell r="F447">
            <v>603.5</v>
          </cell>
        </row>
        <row r="448">
          <cell r="A448">
            <v>2142</v>
          </cell>
          <cell r="B448" t="str">
            <v>110mm (4") Type 600 PVC pipes</v>
          </cell>
          <cell r="C448" t="str">
            <v>m</v>
          </cell>
          <cell r="D448">
            <v>1189.5</v>
          </cell>
          <cell r="E448">
            <v>11.9</v>
          </cell>
          <cell r="F448">
            <v>1338.5</v>
          </cell>
        </row>
        <row r="449">
          <cell r="A449">
            <v>2143</v>
          </cell>
          <cell r="B449" t="str">
            <v>110mm (4") Type 400 PVC pipes</v>
          </cell>
          <cell r="C449" t="str">
            <v>m</v>
          </cell>
          <cell r="D449">
            <v>652.5</v>
          </cell>
          <cell r="E449">
            <v>6.53</v>
          </cell>
          <cell r="F449">
            <v>635.5</v>
          </cell>
        </row>
        <row r="450">
          <cell r="A450">
            <v>2144</v>
          </cell>
          <cell r="B450" t="str">
            <v>12mm (1/2")  angle valve - Chromium Plated</v>
          </cell>
          <cell r="C450" t="str">
            <v>Nr</v>
          </cell>
          <cell r="D450">
            <v>1120</v>
          </cell>
          <cell r="E450">
            <v>11.2</v>
          </cell>
          <cell r="F450">
            <v>1131.2</v>
          </cell>
        </row>
        <row r="451">
          <cell r="A451">
            <v>2145</v>
          </cell>
          <cell r="B451" t="str">
            <v xml:space="preserve">12mm (1/2") flexible horse (450mm) </v>
          </cell>
          <cell r="C451" t="str">
            <v>Nr</v>
          </cell>
          <cell r="D451">
            <v>250</v>
          </cell>
          <cell r="E451">
            <v>2.5</v>
          </cell>
          <cell r="F451">
            <v>252.5</v>
          </cell>
        </row>
        <row r="452">
          <cell r="B452" t="str">
            <v>Sanitary Fittings</v>
          </cell>
        </row>
        <row r="453">
          <cell r="A453">
            <v>2201</v>
          </cell>
          <cell r="B453" t="str">
            <v>Kitchen sink with single bowl and single drain board</v>
          </cell>
          <cell r="C453" t="str">
            <v>Nr</v>
          </cell>
          <cell r="D453">
            <v>2750</v>
          </cell>
          <cell r="E453">
            <v>27.5</v>
          </cell>
          <cell r="F453">
            <v>2777.5</v>
          </cell>
        </row>
        <row r="454">
          <cell r="A454">
            <v>2202</v>
          </cell>
          <cell r="B454" t="str">
            <v>Kitchen sink with single bowl and double drain board</v>
          </cell>
          <cell r="C454" t="str">
            <v>Nr</v>
          </cell>
          <cell r="D454">
            <v>3150</v>
          </cell>
          <cell r="E454">
            <v>31.5</v>
          </cell>
          <cell r="F454">
            <v>3181.5</v>
          </cell>
        </row>
        <row r="455">
          <cell r="A455">
            <v>2203</v>
          </cell>
          <cell r="B455" t="str">
            <v>Kitchen sink with double bowl and double drain board</v>
          </cell>
          <cell r="C455" t="str">
            <v>Nr</v>
          </cell>
          <cell r="D455">
            <v>5500</v>
          </cell>
          <cell r="E455">
            <v>55</v>
          </cell>
          <cell r="F455">
            <v>5555</v>
          </cell>
        </row>
        <row r="456">
          <cell r="A456">
            <v>2204</v>
          </cell>
          <cell r="B456" t="str">
            <v>Heavy quality chromium plated swan tap</v>
          </cell>
          <cell r="C456" t="str">
            <v>Nr</v>
          </cell>
          <cell r="D456">
            <v>775</v>
          </cell>
          <cell r="E456">
            <v>7.75</v>
          </cell>
          <cell r="F456">
            <v>783</v>
          </cell>
        </row>
        <row r="457">
          <cell r="A457">
            <v>2205</v>
          </cell>
          <cell r="B457" t="str">
            <v>Tee Iron brackets</v>
          </cell>
          <cell r="C457" t="str">
            <v>Nr</v>
          </cell>
          <cell r="D457">
            <v>100</v>
          </cell>
          <cell r="E457">
            <v>1</v>
          </cell>
          <cell r="F457">
            <v>101</v>
          </cell>
        </row>
        <row r="458">
          <cell r="A458">
            <v>2206</v>
          </cell>
          <cell r="B458" t="str">
            <v>Ceramic wash basin (LCL)</v>
          </cell>
          <cell r="C458" t="str">
            <v>Nr</v>
          </cell>
          <cell r="D458">
            <v>4250</v>
          </cell>
          <cell r="E458">
            <v>42.5</v>
          </cell>
          <cell r="F458">
            <v>4292.5</v>
          </cell>
        </row>
        <row r="459">
          <cell r="A459">
            <v>2207</v>
          </cell>
          <cell r="B459" t="str">
            <v>Ceramic wash basin - Pedestal (LCL)</v>
          </cell>
          <cell r="C459" t="str">
            <v>Nr</v>
          </cell>
          <cell r="D459">
            <v>3900</v>
          </cell>
          <cell r="E459">
            <v>39</v>
          </cell>
          <cell r="F459">
            <v>3939</v>
          </cell>
        </row>
        <row r="460">
          <cell r="A460">
            <v>2208</v>
          </cell>
          <cell r="B460" t="str">
            <v>Ceramic wash basin - Pedestal (Ideal, American,British)</v>
          </cell>
          <cell r="C460" t="str">
            <v>Nr</v>
          </cell>
          <cell r="D460">
            <v>14821</v>
          </cell>
          <cell r="E460">
            <v>148.21</v>
          </cell>
          <cell r="F460">
            <v>14969.21</v>
          </cell>
        </row>
        <row r="461">
          <cell r="A461">
            <v>2209</v>
          </cell>
          <cell r="B461" t="str">
            <v>Heavy quality chromium plated pillar tap</v>
          </cell>
          <cell r="C461" t="str">
            <v>Nr</v>
          </cell>
          <cell r="D461">
            <v>1600</v>
          </cell>
          <cell r="E461">
            <v>16</v>
          </cell>
          <cell r="F461">
            <v>1616</v>
          </cell>
        </row>
        <row r="462">
          <cell r="A462">
            <v>2210</v>
          </cell>
          <cell r="B462" t="str">
            <v>Ceramic squatting pan with trap and ceramic foot rests</v>
          </cell>
          <cell r="C462" t="str">
            <v>Nr</v>
          </cell>
          <cell r="D462">
            <v>549</v>
          </cell>
          <cell r="E462">
            <v>5.49</v>
          </cell>
          <cell r="F462">
            <v>554.5</v>
          </cell>
        </row>
        <row r="463">
          <cell r="A463">
            <v>2211</v>
          </cell>
          <cell r="B463" t="str">
            <v>Square type ceramic squatting pan with foot rests and trap</v>
          </cell>
          <cell r="C463" t="str">
            <v>Nr</v>
          </cell>
          <cell r="D463">
            <v>925</v>
          </cell>
          <cell r="E463">
            <v>9.25</v>
          </cell>
          <cell r="F463">
            <v>934.5</v>
          </cell>
        </row>
        <row r="464">
          <cell r="A464">
            <v>2212</v>
          </cell>
          <cell r="B464" t="str">
            <v>9 liters capacity high level ceramic cistern</v>
          </cell>
          <cell r="C464" t="str">
            <v>Nr</v>
          </cell>
          <cell r="D464">
            <v>2500</v>
          </cell>
          <cell r="E464">
            <v>25</v>
          </cell>
          <cell r="F464">
            <v>2525</v>
          </cell>
        </row>
        <row r="465">
          <cell r="A465">
            <v>2213</v>
          </cell>
          <cell r="B465" t="str">
            <v>9 liters capacity high level PVC cistern</v>
          </cell>
          <cell r="C465" t="str">
            <v>Nr</v>
          </cell>
          <cell r="D465">
            <v>1900</v>
          </cell>
          <cell r="E465">
            <v>19</v>
          </cell>
          <cell r="F465">
            <v>1919</v>
          </cell>
        </row>
        <row r="466">
          <cell r="A466">
            <v>2214</v>
          </cell>
          <cell r="B466" t="str">
            <v>9 liters capacity low level ceramic cistern</v>
          </cell>
          <cell r="C466" t="str">
            <v>Nr</v>
          </cell>
          <cell r="D466">
            <v>2350</v>
          </cell>
          <cell r="E466">
            <v>23.5</v>
          </cell>
          <cell r="F466">
            <v>2373.5</v>
          </cell>
        </row>
        <row r="467">
          <cell r="A467">
            <v>2215</v>
          </cell>
          <cell r="B467" t="str">
            <v>9 liters capacity low level PVC cistern</v>
          </cell>
          <cell r="C467" t="str">
            <v>Nr</v>
          </cell>
          <cell r="D467">
            <v>1900</v>
          </cell>
          <cell r="E467">
            <v>19</v>
          </cell>
          <cell r="F467">
            <v>1919</v>
          </cell>
        </row>
        <row r="468">
          <cell r="A468">
            <v>2216</v>
          </cell>
          <cell r="B468" t="str">
            <v xml:space="preserve">Low level ceramic water closet (LCL) </v>
          </cell>
          <cell r="C468" t="str">
            <v>Nr</v>
          </cell>
          <cell r="D468">
            <v>4500</v>
          </cell>
          <cell r="E468">
            <v>45</v>
          </cell>
          <cell r="F468">
            <v>4545</v>
          </cell>
        </row>
        <row r="469">
          <cell r="A469">
            <v>2217</v>
          </cell>
          <cell r="B469" t="str">
            <v xml:space="preserve">Closed couple ceramic water closet (British) </v>
          </cell>
          <cell r="C469" t="str">
            <v>Nr</v>
          </cell>
          <cell r="D469">
            <v>12000</v>
          </cell>
          <cell r="E469">
            <v>120</v>
          </cell>
          <cell r="F469">
            <v>12120</v>
          </cell>
        </row>
        <row r="470">
          <cell r="A470">
            <v>2218</v>
          </cell>
          <cell r="B470" t="str">
            <v>Bowl type urinal</v>
          </cell>
          <cell r="C470" t="str">
            <v>Nr</v>
          </cell>
          <cell r="D470">
            <v>1380</v>
          </cell>
          <cell r="E470">
            <v>13.8</v>
          </cell>
          <cell r="F470">
            <v>1394</v>
          </cell>
        </row>
        <row r="471">
          <cell r="A471">
            <v>2219</v>
          </cell>
          <cell r="B471" t="str">
            <v>40mm Bottle Trap</v>
          </cell>
          <cell r="C471" t="str">
            <v>Nr</v>
          </cell>
          <cell r="D471">
            <v>3571.43</v>
          </cell>
          <cell r="E471">
            <v>35.71</v>
          </cell>
          <cell r="F471">
            <v>3607.14</v>
          </cell>
        </row>
        <row r="472">
          <cell r="A472">
            <v>2220</v>
          </cell>
          <cell r="B472" t="str">
            <v>Bidet shower</v>
          </cell>
          <cell r="C472" t="str">
            <v>Nr</v>
          </cell>
          <cell r="D472">
            <v>1850</v>
          </cell>
          <cell r="E472">
            <v>18.5</v>
          </cell>
          <cell r="F472">
            <v>1868.5</v>
          </cell>
        </row>
        <row r="473">
          <cell r="A473">
            <v>2221</v>
          </cell>
          <cell r="B473" t="str">
            <v>PVC seat cover</v>
          </cell>
          <cell r="C473" t="str">
            <v>Nr</v>
          </cell>
          <cell r="D473">
            <v>500</v>
          </cell>
          <cell r="E473">
            <v>5</v>
          </cell>
          <cell r="F473">
            <v>505</v>
          </cell>
        </row>
        <row r="474">
          <cell r="A474">
            <v>2222</v>
          </cell>
          <cell r="B474" t="str">
            <v>Bathroom mirror</v>
          </cell>
          <cell r="C474" t="str">
            <v>Nr</v>
          </cell>
          <cell r="D474">
            <v>750</v>
          </cell>
          <cell r="E474">
            <v>7.5</v>
          </cell>
          <cell r="F474">
            <v>757.5</v>
          </cell>
        </row>
        <row r="475">
          <cell r="A475">
            <v>2223</v>
          </cell>
          <cell r="B475" t="str">
            <v>Chromium Plated Soap Tray</v>
          </cell>
          <cell r="C475" t="str">
            <v>Nr</v>
          </cell>
          <cell r="D475">
            <v>2850</v>
          </cell>
          <cell r="E475">
            <v>28.5</v>
          </cell>
          <cell r="F475">
            <v>2878.5</v>
          </cell>
        </row>
        <row r="476">
          <cell r="A476">
            <v>2224</v>
          </cell>
          <cell r="B476" t="str">
            <v>Ceramic Soap Tray</v>
          </cell>
          <cell r="C476" t="str">
            <v>Nr</v>
          </cell>
          <cell r="D476">
            <v>300</v>
          </cell>
          <cell r="E476">
            <v>3</v>
          </cell>
          <cell r="F476">
            <v>303</v>
          </cell>
        </row>
        <row r="477">
          <cell r="A477">
            <v>2225</v>
          </cell>
          <cell r="B477" t="str">
            <v>Chromium Plated Tooth brush holder</v>
          </cell>
          <cell r="C477" t="str">
            <v>Nr</v>
          </cell>
          <cell r="D477">
            <v>2350</v>
          </cell>
          <cell r="E477">
            <v>23.5</v>
          </cell>
          <cell r="F477">
            <v>2373.5</v>
          </cell>
        </row>
        <row r="478">
          <cell r="A478">
            <v>2226</v>
          </cell>
          <cell r="B478" t="str">
            <v>Ceramic Tooth brush holder</v>
          </cell>
          <cell r="C478" t="str">
            <v>Nr</v>
          </cell>
          <cell r="D478">
            <v>400</v>
          </cell>
          <cell r="E478">
            <v>4</v>
          </cell>
          <cell r="F478">
            <v>404</v>
          </cell>
        </row>
        <row r="479">
          <cell r="A479">
            <v>2227</v>
          </cell>
          <cell r="B479" t="str">
            <v>Chromium Plated 150mm dia. Shower Rose</v>
          </cell>
          <cell r="C479" t="str">
            <v>Nr</v>
          </cell>
          <cell r="D479">
            <v>12600</v>
          </cell>
          <cell r="E479">
            <v>126</v>
          </cell>
          <cell r="F479">
            <v>12726</v>
          </cell>
        </row>
        <row r="480">
          <cell r="A480">
            <v>2228</v>
          </cell>
          <cell r="B480" t="str">
            <v>PVC 150mm dia. Shower Rose</v>
          </cell>
          <cell r="C480" t="str">
            <v>Nr</v>
          </cell>
          <cell r="D480">
            <v>140</v>
          </cell>
          <cell r="E480">
            <v>1.4</v>
          </cell>
          <cell r="F480">
            <v>141.4</v>
          </cell>
        </row>
        <row r="481">
          <cell r="A481">
            <v>2229</v>
          </cell>
          <cell r="B481" t="str">
            <v>Chromium Plated toilet paper holder</v>
          </cell>
          <cell r="C481" t="str">
            <v>Nr</v>
          </cell>
          <cell r="D481">
            <v>2740</v>
          </cell>
          <cell r="E481">
            <v>27.4</v>
          </cell>
          <cell r="F481">
            <v>2767.4</v>
          </cell>
        </row>
        <row r="482">
          <cell r="A482">
            <v>2230</v>
          </cell>
          <cell r="B482" t="str">
            <v>Ceremic toilet paper holder</v>
          </cell>
          <cell r="C482" t="str">
            <v>Nr</v>
          </cell>
          <cell r="D482">
            <v>400</v>
          </cell>
          <cell r="E482">
            <v>4</v>
          </cell>
          <cell r="F482">
            <v>404</v>
          </cell>
        </row>
        <row r="483">
          <cell r="A483">
            <v>2231</v>
          </cell>
          <cell r="B483" t="str">
            <v>Chromium Plated towel rail</v>
          </cell>
          <cell r="C483" t="str">
            <v>Nr</v>
          </cell>
          <cell r="D483">
            <v>3250</v>
          </cell>
          <cell r="E483">
            <v>32.5</v>
          </cell>
          <cell r="F483">
            <v>3282.5</v>
          </cell>
        </row>
        <row r="484">
          <cell r="A484">
            <v>2232</v>
          </cell>
          <cell r="B484" t="str">
            <v>Ceremic towel rail</v>
          </cell>
          <cell r="C484" t="str">
            <v>Nr</v>
          </cell>
          <cell r="D484">
            <v>600</v>
          </cell>
          <cell r="E484">
            <v>6</v>
          </cell>
          <cell r="F484">
            <v>606</v>
          </cell>
        </row>
        <row r="485">
          <cell r="A485">
            <v>2233</v>
          </cell>
          <cell r="B485" t="str">
            <v>Chromium Plated conceal valve for shower</v>
          </cell>
          <cell r="C485" t="str">
            <v>Nr</v>
          </cell>
          <cell r="D485">
            <v>1300</v>
          </cell>
          <cell r="E485">
            <v>13</v>
          </cell>
          <cell r="F485">
            <v>1313</v>
          </cell>
        </row>
        <row r="486">
          <cell r="B486" t="str">
            <v>Roof Plumber</v>
          </cell>
          <cell r="F486">
            <v>0</v>
          </cell>
        </row>
        <row r="487">
          <cell r="A487">
            <v>2301</v>
          </cell>
          <cell r="B487" t="str">
            <v>PVC eave gutters</v>
          </cell>
          <cell r="C487" t="str">
            <v>m</v>
          </cell>
          <cell r="D487">
            <v>540</v>
          </cell>
          <cell r="E487">
            <v>5.4</v>
          </cell>
          <cell r="F487">
            <v>545.5</v>
          </cell>
        </row>
        <row r="488">
          <cell r="A488">
            <v>2302</v>
          </cell>
          <cell r="B488" t="str">
            <v>End cap</v>
          </cell>
          <cell r="C488" t="str">
            <v>Nr</v>
          </cell>
          <cell r="D488">
            <v>85</v>
          </cell>
          <cell r="E488">
            <v>0.85</v>
          </cell>
          <cell r="F488">
            <v>72.5</v>
          </cell>
        </row>
        <row r="489">
          <cell r="A489">
            <v>2303</v>
          </cell>
          <cell r="B489" t="str">
            <v>Joint</v>
          </cell>
          <cell r="C489" t="str">
            <v>m</v>
          </cell>
          <cell r="D489">
            <v>85</v>
          </cell>
          <cell r="E489">
            <v>0.85</v>
          </cell>
          <cell r="F489">
            <v>86</v>
          </cell>
        </row>
        <row r="490">
          <cell r="A490">
            <v>2304</v>
          </cell>
          <cell r="B490" t="str">
            <v>Gutter joiner</v>
          </cell>
          <cell r="C490" t="str">
            <v>Nr</v>
          </cell>
          <cell r="D490">
            <v>95</v>
          </cell>
          <cell r="E490">
            <v>0.95</v>
          </cell>
          <cell r="F490">
            <v>96</v>
          </cell>
        </row>
        <row r="491">
          <cell r="A491">
            <v>2305</v>
          </cell>
          <cell r="B491" t="str">
            <v>Gutter brackets</v>
          </cell>
          <cell r="C491" t="str">
            <v>Nr</v>
          </cell>
          <cell r="D491">
            <v>24</v>
          </cell>
          <cell r="E491">
            <v>0.24</v>
          </cell>
          <cell r="F491">
            <v>36.5</v>
          </cell>
        </row>
        <row r="492">
          <cell r="A492">
            <v>2306</v>
          </cell>
          <cell r="B492" t="str">
            <v>Running head</v>
          </cell>
          <cell r="C492" t="str">
            <v>Nr</v>
          </cell>
          <cell r="D492">
            <v>225</v>
          </cell>
          <cell r="E492">
            <v>2.25</v>
          </cell>
          <cell r="F492">
            <v>227.25</v>
          </cell>
        </row>
        <row r="493">
          <cell r="A493">
            <v>2307</v>
          </cell>
          <cell r="B493" t="str">
            <v>87.5 mm dia. PVC down pipes</v>
          </cell>
          <cell r="C493" t="str">
            <v>m</v>
          </cell>
          <cell r="D493">
            <v>196</v>
          </cell>
          <cell r="E493">
            <v>1.96</v>
          </cell>
          <cell r="F493">
            <v>138.5</v>
          </cell>
        </row>
        <row r="494">
          <cell r="A494">
            <v>2308</v>
          </cell>
          <cell r="B494" t="str">
            <v>87.5 mm dia. PVC socket</v>
          </cell>
          <cell r="C494" t="str">
            <v>Nr</v>
          </cell>
          <cell r="D494">
            <v>65</v>
          </cell>
          <cell r="E494">
            <v>0.65</v>
          </cell>
          <cell r="F494">
            <v>62.5</v>
          </cell>
        </row>
        <row r="495">
          <cell r="A495">
            <v>2309</v>
          </cell>
          <cell r="B495" t="str">
            <v>87.5 mm dia. PVC elbows</v>
          </cell>
          <cell r="C495" t="str">
            <v>Nr</v>
          </cell>
          <cell r="D495">
            <v>150</v>
          </cell>
          <cell r="E495">
            <v>1.5</v>
          </cell>
          <cell r="F495">
            <v>91</v>
          </cell>
        </row>
        <row r="496">
          <cell r="A496">
            <v>2310</v>
          </cell>
          <cell r="B496" t="str">
            <v>Clips</v>
          </cell>
          <cell r="C496" t="str">
            <v>Nr</v>
          </cell>
          <cell r="D496">
            <v>20</v>
          </cell>
          <cell r="E496">
            <v>0.2</v>
          </cell>
          <cell r="F496">
            <v>18</v>
          </cell>
        </row>
        <row r="497">
          <cell r="A497">
            <v>2311</v>
          </cell>
          <cell r="B497" t="str">
            <v>200mmx200x87.5mm PVC gutter box</v>
          </cell>
          <cell r="C497" t="str">
            <v>Nr</v>
          </cell>
          <cell r="D497">
            <v>490</v>
          </cell>
          <cell r="E497">
            <v>4.9000000000000004</v>
          </cell>
          <cell r="F497">
            <v>494.9</v>
          </cell>
        </row>
        <row r="498">
          <cell r="A498">
            <v>2312</v>
          </cell>
          <cell r="B498" t="str">
            <v>Zink Aluminium rainwater eave gutters</v>
          </cell>
          <cell r="C498" t="str">
            <v>m</v>
          </cell>
          <cell r="D498">
            <v>525</v>
          </cell>
          <cell r="E498">
            <v>5.25</v>
          </cell>
          <cell r="F498">
            <v>530.5</v>
          </cell>
        </row>
        <row r="499">
          <cell r="A499">
            <v>2313</v>
          </cell>
          <cell r="B499" t="str">
            <v>Stop end and plate</v>
          </cell>
          <cell r="C499" t="str">
            <v>Nr</v>
          </cell>
          <cell r="D499">
            <v>140</v>
          </cell>
          <cell r="E499">
            <v>1.4</v>
          </cell>
          <cell r="F499">
            <v>141.5</v>
          </cell>
        </row>
        <row r="500">
          <cell r="A500">
            <v>2314</v>
          </cell>
          <cell r="B500" t="str">
            <v>Steel brackets</v>
          </cell>
          <cell r="C500" t="str">
            <v>Nr</v>
          </cell>
          <cell r="D500">
            <v>50</v>
          </cell>
          <cell r="E500">
            <v>0.5</v>
          </cell>
          <cell r="F500">
            <v>50.5</v>
          </cell>
        </row>
        <row r="501">
          <cell r="A501">
            <v>2315</v>
          </cell>
          <cell r="B501" t="str">
            <v>100x100mm Zn-alum down pipes</v>
          </cell>
          <cell r="C501" t="str">
            <v>m</v>
          </cell>
          <cell r="D501">
            <v>524</v>
          </cell>
          <cell r="E501">
            <v>5.24</v>
          </cell>
          <cell r="F501">
            <v>529</v>
          </cell>
        </row>
        <row r="502">
          <cell r="A502">
            <v>2316</v>
          </cell>
          <cell r="B502" t="str">
            <v>150x150mm Zn-alum down pipes</v>
          </cell>
          <cell r="C502" t="str">
            <v>m</v>
          </cell>
          <cell r="D502">
            <v>838</v>
          </cell>
          <cell r="E502">
            <v>8.3800000000000008</v>
          </cell>
          <cell r="F502">
            <v>846.5</v>
          </cell>
        </row>
        <row r="503">
          <cell r="A503">
            <v>2317</v>
          </cell>
          <cell r="B503" t="str">
            <v>Nozzles</v>
          </cell>
          <cell r="C503" t="str">
            <v>Nr</v>
          </cell>
          <cell r="D503">
            <v>754</v>
          </cell>
          <cell r="E503">
            <v>7.54</v>
          </cell>
          <cell r="F503">
            <v>761.5</v>
          </cell>
        </row>
        <row r="504">
          <cell r="A504">
            <v>2318</v>
          </cell>
          <cell r="B504" t="str">
            <v>Offsets</v>
          </cell>
          <cell r="C504" t="str">
            <v>Nr</v>
          </cell>
          <cell r="D504">
            <v>1635</v>
          </cell>
          <cell r="E504">
            <v>16.350000000000001</v>
          </cell>
          <cell r="F504">
            <v>1651.5</v>
          </cell>
        </row>
        <row r="505">
          <cell r="A505">
            <v>2319</v>
          </cell>
          <cell r="B505" t="str">
            <v>Shoes</v>
          </cell>
          <cell r="C505" t="str">
            <v>Nr</v>
          </cell>
          <cell r="D505">
            <v>624</v>
          </cell>
          <cell r="E505">
            <v>6.24</v>
          </cell>
          <cell r="F505">
            <v>630</v>
          </cell>
        </row>
        <row r="506">
          <cell r="A506">
            <v>2320</v>
          </cell>
          <cell r="B506" t="str">
            <v>Clips</v>
          </cell>
          <cell r="C506" t="str">
            <v>Nr</v>
          </cell>
          <cell r="D506">
            <v>9</v>
          </cell>
          <cell r="E506">
            <v>0.09</v>
          </cell>
          <cell r="F506">
            <v>9</v>
          </cell>
        </row>
        <row r="507">
          <cell r="A507">
            <v>2321</v>
          </cell>
          <cell r="B507" t="str">
            <v>300x300mm gutter boxes in Zink Alum color coated metal sheets</v>
          </cell>
          <cell r="C507" t="str">
            <v>Nr</v>
          </cell>
          <cell r="D507">
            <v>1142</v>
          </cell>
          <cell r="E507">
            <v>11.42</v>
          </cell>
          <cell r="F507">
            <v>1153.5</v>
          </cell>
        </row>
        <row r="508">
          <cell r="A508">
            <v>2322</v>
          </cell>
          <cell r="B508" t="str">
            <v>25x25mm N/A Alluminium</v>
          </cell>
          <cell r="C508" t="str">
            <v>m</v>
          </cell>
          <cell r="E508">
            <v>0</v>
          </cell>
        </row>
        <row r="509">
          <cell r="B509" t="str">
            <v>Tinker</v>
          </cell>
        </row>
        <row r="510">
          <cell r="A510">
            <v>2401</v>
          </cell>
          <cell r="B510" t="str">
            <v>18 B.W.G. sheets</v>
          </cell>
          <cell r="C510" t="str">
            <v>m2</v>
          </cell>
          <cell r="D510">
            <v>1177</v>
          </cell>
          <cell r="E510">
            <v>11.77</v>
          </cell>
          <cell r="F510">
            <v>1189</v>
          </cell>
        </row>
        <row r="511">
          <cell r="B511" t="str">
            <v>Drain Layer</v>
          </cell>
        </row>
        <row r="512">
          <cell r="A512">
            <v>2501</v>
          </cell>
          <cell r="B512" t="str">
            <v>Copper wire dome</v>
          </cell>
          <cell r="C512" t="str">
            <v>Nr</v>
          </cell>
          <cell r="D512">
            <v>250</v>
          </cell>
          <cell r="E512">
            <v>2.5</v>
          </cell>
          <cell r="F512">
            <v>252.5</v>
          </cell>
        </row>
        <row r="513">
          <cell r="A513">
            <v>2502</v>
          </cell>
          <cell r="B513" t="str">
            <v>Drainage gully and grate  PVC</v>
          </cell>
          <cell r="C513" t="str">
            <v>Nr</v>
          </cell>
          <cell r="D513">
            <v>130</v>
          </cell>
          <cell r="E513">
            <v>1.3</v>
          </cell>
          <cell r="F513">
            <v>131.5</v>
          </cell>
        </row>
        <row r="514">
          <cell r="A514">
            <v>2503</v>
          </cell>
          <cell r="B514" t="str">
            <v>40mm 4-way PVC floor trap</v>
          </cell>
          <cell r="C514" t="str">
            <v>Nr</v>
          </cell>
          <cell r="D514">
            <v>300</v>
          </cell>
          <cell r="E514">
            <v>3</v>
          </cell>
          <cell r="F514">
            <v>303</v>
          </cell>
        </row>
        <row r="515">
          <cell r="B515" t="str">
            <v>Painter</v>
          </cell>
        </row>
        <row r="516">
          <cell r="A516">
            <v>2601</v>
          </cell>
          <cell r="B516" t="str">
            <v>Lime</v>
          </cell>
          <cell r="C516" t="str">
            <v>kg</v>
          </cell>
          <cell r="D516">
            <v>20</v>
          </cell>
          <cell r="E516">
            <v>0.2</v>
          </cell>
          <cell r="F516">
            <v>20.5</v>
          </cell>
        </row>
        <row r="517">
          <cell r="A517">
            <v>2602</v>
          </cell>
          <cell r="B517" t="str">
            <v>Glue</v>
          </cell>
          <cell r="C517" t="str">
            <v>kg</v>
          </cell>
          <cell r="D517">
            <v>80</v>
          </cell>
          <cell r="E517">
            <v>0.8</v>
          </cell>
          <cell r="F517">
            <v>81</v>
          </cell>
        </row>
        <row r="518">
          <cell r="A518">
            <v>2603</v>
          </cell>
          <cell r="B518" t="str">
            <v>Yellow ochre</v>
          </cell>
          <cell r="C518" t="str">
            <v>kg</v>
          </cell>
          <cell r="D518">
            <v>60</v>
          </cell>
          <cell r="E518">
            <v>0.6</v>
          </cell>
          <cell r="F518">
            <v>60.5</v>
          </cell>
        </row>
        <row r="519">
          <cell r="A519">
            <v>2604</v>
          </cell>
          <cell r="B519" t="str">
            <v>Snowcem</v>
          </cell>
          <cell r="C519" t="str">
            <v>kg</v>
          </cell>
          <cell r="D519">
            <v>80</v>
          </cell>
          <cell r="E519">
            <v>0.8</v>
          </cell>
          <cell r="F519">
            <v>81</v>
          </cell>
        </row>
        <row r="520">
          <cell r="A520">
            <v>2605</v>
          </cell>
          <cell r="B520" t="str">
            <v>Wall primer</v>
          </cell>
          <cell r="C520" t="str">
            <v>l</v>
          </cell>
          <cell r="D520">
            <v>320</v>
          </cell>
          <cell r="E520">
            <v>3.2</v>
          </cell>
          <cell r="F520">
            <v>323</v>
          </cell>
        </row>
        <row r="521">
          <cell r="A521">
            <v>2606</v>
          </cell>
          <cell r="B521" t="str">
            <v>Emulsion paint</v>
          </cell>
          <cell r="C521" t="str">
            <v>l</v>
          </cell>
          <cell r="D521">
            <v>645</v>
          </cell>
          <cell r="E521">
            <v>6.45</v>
          </cell>
          <cell r="F521">
            <v>651.5</v>
          </cell>
        </row>
        <row r="522">
          <cell r="A522">
            <v>2607</v>
          </cell>
          <cell r="B522" t="str">
            <v>Weather shield paint</v>
          </cell>
          <cell r="C522" t="str">
            <v>l</v>
          </cell>
          <cell r="D522">
            <v>838</v>
          </cell>
          <cell r="E522">
            <v>8.3800000000000008</v>
          </cell>
          <cell r="F522">
            <v>846.5</v>
          </cell>
        </row>
        <row r="523">
          <cell r="A523">
            <v>2608</v>
          </cell>
          <cell r="B523" t="str">
            <v>Enamel paint</v>
          </cell>
          <cell r="C523" t="str">
            <v>l</v>
          </cell>
          <cell r="D523">
            <v>740</v>
          </cell>
          <cell r="E523">
            <v>7.4</v>
          </cell>
          <cell r="F523">
            <v>747.5</v>
          </cell>
        </row>
        <row r="524">
          <cell r="A524">
            <v>2609</v>
          </cell>
          <cell r="B524" t="str">
            <v>Anticorrosive paint</v>
          </cell>
          <cell r="C524" t="str">
            <v>l</v>
          </cell>
          <cell r="D524">
            <v>510</v>
          </cell>
          <cell r="E524">
            <v>5.0999999999999996</v>
          </cell>
          <cell r="F524">
            <v>515</v>
          </cell>
        </row>
        <row r="525">
          <cell r="A525">
            <v>2610</v>
          </cell>
          <cell r="B525" t="str">
            <v>Floor paint</v>
          </cell>
          <cell r="C525" t="str">
            <v>l</v>
          </cell>
          <cell r="D525">
            <v>780</v>
          </cell>
          <cell r="E525">
            <v>7.8</v>
          </cell>
          <cell r="F525">
            <v>788</v>
          </cell>
        </row>
        <row r="526">
          <cell r="A526">
            <v>2611</v>
          </cell>
          <cell r="B526" t="str">
            <v>Floor polish</v>
          </cell>
          <cell r="C526" t="str">
            <v>kg</v>
          </cell>
          <cell r="D526">
            <v>650</v>
          </cell>
          <cell r="E526">
            <v>6.5</v>
          </cell>
          <cell r="F526">
            <v>656.5</v>
          </cell>
        </row>
        <row r="527">
          <cell r="A527">
            <v>2612</v>
          </cell>
          <cell r="B527" t="str">
            <v>Wood primer</v>
          </cell>
          <cell r="C527" t="str">
            <v>l</v>
          </cell>
          <cell r="D527">
            <v>720</v>
          </cell>
          <cell r="E527">
            <v>7.2</v>
          </cell>
          <cell r="F527">
            <v>727</v>
          </cell>
        </row>
        <row r="528">
          <cell r="A528">
            <v>2613</v>
          </cell>
          <cell r="B528" t="str">
            <v>Polyurethane varnish</v>
          </cell>
          <cell r="C528" t="str">
            <v>l</v>
          </cell>
          <cell r="D528">
            <v>750</v>
          </cell>
          <cell r="E528">
            <v>7.5</v>
          </cell>
          <cell r="F528">
            <v>757.5</v>
          </cell>
        </row>
        <row r="529">
          <cell r="B529" t="str">
            <v>Electrical Installation</v>
          </cell>
        </row>
        <row r="530">
          <cell r="A530">
            <v>2701</v>
          </cell>
          <cell r="B530" t="str">
            <v>1/1.13 mm Cu\PVC\PVC ( 1 sq.mm)</v>
          </cell>
          <cell r="C530" t="str">
            <v>m</v>
          </cell>
          <cell r="D530">
            <v>18.5</v>
          </cell>
          <cell r="E530">
            <v>0.19</v>
          </cell>
          <cell r="F530">
            <v>18.5</v>
          </cell>
        </row>
        <row r="531">
          <cell r="A531">
            <v>2702</v>
          </cell>
          <cell r="B531" t="str">
            <v>7/0.67 mm Cu\PVC ( 2.5 sq.mm)</v>
          </cell>
          <cell r="C531" t="str">
            <v>m</v>
          </cell>
          <cell r="D531">
            <v>61.5</v>
          </cell>
          <cell r="E531">
            <v>0.62</v>
          </cell>
          <cell r="F531">
            <v>62</v>
          </cell>
        </row>
        <row r="532">
          <cell r="A532">
            <v>2703</v>
          </cell>
          <cell r="B532" t="str">
            <v>7/0.53mm Cu\PVC\PVC(T)-1.5sq.mm</v>
          </cell>
          <cell r="C532" t="str">
            <v>m</v>
          </cell>
          <cell r="D532">
            <v>79.2</v>
          </cell>
          <cell r="E532">
            <v>0.79</v>
          </cell>
          <cell r="F532">
            <v>80</v>
          </cell>
        </row>
        <row r="533">
          <cell r="A533">
            <v>2704</v>
          </cell>
          <cell r="B533" t="str">
            <v>7/0.67mm Cu\PVC\PVC(T)-2.5sq.mm</v>
          </cell>
          <cell r="C533" t="str">
            <v>m</v>
          </cell>
          <cell r="D533">
            <v>115.4</v>
          </cell>
          <cell r="E533">
            <v>1.1499999999999999</v>
          </cell>
          <cell r="F533">
            <v>116.5</v>
          </cell>
        </row>
        <row r="534">
          <cell r="A534">
            <v>2705</v>
          </cell>
          <cell r="B534" t="str">
            <v>7/1.04mm Cu\PVC\PVC(T)-6sq.mm</v>
          </cell>
          <cell r="C534" t="str">
            <v>m</v>
          </cell>
          <cell r="D534">
            <v>249.3</v>
          </cell>
          <cell r="E534">
            <v>2.4900000000000002</v>
          </cell>
          <cell r="F534">
            <v>252</v>
          </cell>
        </row>
        <row r="535">
          <cell r="A535">
            <v>2706</v>
          </cell>
          <cell r="B535" t="str">
            <v>Holder</v>
          </cell>
          <cell r="C535" t="str">
            <v>Nr</v>
          </cell>
          <cell r="D535">
            <v>55</v>
          </cell>
          <cell r="E535">
            <v>0.55000000000000004</v>
          </cell>
          <cell r="F535">
            <v>55.5</v>
          </cell>
        </row>
        <row r="536">
          <cell r="A536">
            <v>2707</v>
          </cell>
          <cell r="B536" t="str">
            <v>Sun box</v>
          </cell>
          <cell r="C536" t="str">
            <v>Nr</v>
          </cell>
          <cell r="D536">
            <v>35</v>
          </cell>
          <cell r="E536">
            <v>0.35</v>
          </cell>
          <cell r="F536">
            <v>35.5</v>
          </cell>
        </row>
        <row r="537">
          <cell r="A537">
            <v>2708</v>
          </cell>
          <cell r="B537" t="str">
            <v>Switch</v>
          </cell>
          <cell r="C537" t="str">
            <v>Nr</v>
          </cell>
          <cell r="D537">
            <v>35</v>
          </cell>
          <cell r="E537">
            <v>0.35</v>
          </cell>
          <cell r="F537">
            <v>35.5</v>
          </cell>
        </row>
        <row r="538">
          <cell r="A538">
            <v>2709</v>
          </cell>
          <cell r="B538" t="str">
            <v>PVC conduit 1"</v>
          </cell>
          <cell r="C538" t="str">
            <v>m</v>
          </cell>
          <cell r="D538">
            <v>34.25</v>
          </cell>
          <cell r="E538">
            <v>0.34</v>
          </cell>
          <cell r="F538">
            <v>34</v>
          </cell>
        </row>
        <row r="539">
          <cell r="A539">
            <v>2710</v>
          </cell>
          <cell r="B539" t="str">
            <v>5A socket outlet</v>
          </cell>
          <cell r="C539" t="str">
            <v>Nr</v>
          </cell>
          <cell r="D539">
            <v>340</v>
          </cell>
          <cell r="E539">
            <v>3.4</v>
          </cell>
          <cell r="F539">
            <v>315</v>
          </cell>
        </row>
        <row r="540">
          <cell r="A540">
            <v>2711</v>
          </cell>
          <cell r="B540" t="str">
            <v>13A socket outlet</v>
          </cell>
          <cell r="C540" t="str">
            <v>Nr</v>
          </cell>
          <cell r="D540">
            <v>360</v>
          </cell>
          <cell r="E540">
            <v>3.6</v>
          </cell>
          <cell r="F540">
            <v>333.5</v>
          </cell>
        </row>
        <row r="541">
          <cell r="A541">
            <v>2712</v>
          </cell>
          <cell r="B541" t="str">
            <v>15A socket outlet</v>
          </cell>
          <cell r="C541" t="str">
            <v>Nr</v>
          </cell>
          <cell r="D541">
            <v>420</v>
          </cell>
          <cell r="E541">
            <v>4.2</v>
          </cell>
          <cell r="F541">
            <v>387</v>
          </cell>
        </row>
        <row r="542">
          <cell r="A542">
            <v>2713</v>
          </cell>
          <cell r="B542" t="str">
            <v>Ceiling rose</v>
          </cell>
          <cell r="C542" t="str">
            <v>Nr</v>
          </cell>
          <cell r="D542">
            <v>85</v>
          </cell>
          <cell r="E542">
            <v>0.85</v>
          </cell>
          <cell r="F542">
            <v>86</v>
          </cell>
        </row>
        <row r="543">
          <cell r="A543">
            <v>2714</v>
          </cell>
          <cell r="B543" t="str">
            <v>Round block</v>
          </cell>
          <cell r="C543" t="str">
            <v>Nr</v>
          </cell>
          <cell r="D543">
            <v>15</v>
          </cell>
          <cell r="E543">
            <v>0.15</v>
          </cell>
          <cell r="F543">
            <v>15</v>
          </cell>
        </row>
        <row r="544">
          <cell r="A544">
            <v>2715</v>
          </cell>
          <cell r="B544" t="str">
            <v>Fan hook</v>
          </cell>
          <cell r="C544" t="str">
            <v>Nr</v>
          </cell>
          <cell r="D544">
            <v>175</v>
          </cell>
          <cell r="E544">
            <v>1.75</v>
          </cell>
          <cell r="F544">
            <v>177</v>
          </cell>
        </row>
        <row r="545">
          <cell r="A545">
            <v>2716</v>
          </cell>
          <cell r="B545" t="str">
            <v>Pendent lamp</v>
          </cell>
          <cell r="C545" t="str">
            <v>Nr</v>
          </cell>
          <cell r="D545">
            <v>60</v>
          </cell>
          <cell r="E545">
            <v>0.6</v>
          </cell>
          <cell r="F545">
            <v>60.5</v>
          </cell>
        </row>
        <row r="546">
          <cell r="A546">
            <v>2717</v>
          </cell>
          <cell r="B546" t="str">
            <v>Weather proofed angle batten lamp</v>
          </cell>
          <cell r="C546" t="str">
            <v>Nr</v>
          </cell>
          <cell r="D546">
            <v>1350</v>
          </cell>
          <cell r="E546">
            <v>13.5</v>
          </cell>
          <cell r="F546">
            <v>1363.5</v>
          </cell>
        </row>
        <row r="547">
          <cell r="A547">
            <v>2718</v>
          </cell>
          <cell r="B547" t="str">
            <v>Wall bracket lamp</v>
          </cell>
          <cell r="C547" t="str">
            <v>Nr</v>
          </cell>
          <cell r="D547">
            <v>850</v>
          </cell>
          <cell r="E547">
            <v>8.5</v>
          </cell>
          <cell r="F547">
            <v>858.5</v>
          </cell>
        </row>
        <row r="548">
          <cell r="A548">
            <v>2719</v>
          </cell>
          <cell r="B548" t="str">
            <v>1200 mm, 40W single fluorescent lamp</v>
          </cell>
          <cell r="C548" t="str">
            <v>Nr</v>
          </cell>
          <cell r="D548">
            <v>975</v>
          </cell>
          <cell r="E548">
            <v>9.75</v>
          </cell>
          <cell r="F548">
            <v>985</v>
          </cell>
        </row>
        <row r="549">
          <cell r="A549">
            <v>2720</v>
          </cell>
          <cell r="B549" t="str">
            <v>1200 mm, 40W double fluorescent lamp</v>
          </cell>
          <cell r="C549" t="str">
            <v>Nr</v>
          </cell>
          <cell r="D549">
            <v>1900</v>
          </cell>
          <cell r="E549">
            <v>19</v>
          </cell>
          <cell r="F549">
            <v>1919</v>
          </cell>
        </row>
        <row r="550">
          <cell r="A550">
            <v>2721</v>
          </cell>
          <cell r="B550" t="str">
            <v>600x300 mm fully parabolic reflective type fluorescent lamp (2 tube)</v>
          </cell>
          <cell r="C550" t="str">
            <v>Nr</v>
          </cell>
          <cell r="D550">
            <v>3450</v>
          </cell>
          <cell r="E550">
            <v>34.5</v>
          </cell>
          <cell r="F550">
            <v>3484.5</v>
          </cell>
        </row>
        <row r="551">
          <cell r="A551">
            <v>2722</v>
          </cell>
          <cell r="B551" t="str">
            <v>1200x300 mm fully parabolic reflective type fluorescent lamp (2 tube)</v>
          </cell>
          <cell r="C551" t="str">
            <v>Nr</v>
          </cell>
          <cell r="D551">
            <v>3850</v>
          </cell>
          <cell r="E551">
            <v>38.5</v>
          </cell>
          <cell r="F551">
            <v>3888.5</v>
          </cell>
        </row>
        <row r="552">
          <cell r="A552">
            <v>2723</v>
          </cell>
          <cell r="B552" t="str">
            <v>600x600 mm fully parabolic reflective type fluorescent lamp (3 tube)</v>
          </cell>
          <cell r="C552" t="str">
            <v>Nr</v>
          </cell>
          <cell r="D552">
            <v>3950</v>
          </cell>
          <cell r="E552">
            <v>39.5</v>
          </cell>
          <cell r="F552">
            <v>3989.5</v>
          </cell>
        </row>
        <row r="553">
          <cell r="A553">
            <v>2724</v>
          </cell>
          <cell r="B553" t="str">
            <v>1200x600 mm fully parabolic reflective type fluorescent lamp (3 tube)</v>
          </cell>
          <cell r="C553" t="str">
            <v>Nr</v>
          </cell>
          <cell r="D553">
            <v>4750</v>
          </cell>
          <cell r="E553">
            <v>47.5</v>
          </cell>
          <cell r="F553">
            <v>4797.5</v>
          </cell>
        </row>
        <row r="554">
          <cell r="A554">
            <v>2725</v>
          </cell>
          <cell r="B554" t="str">
            <v>1200mm sweep ceiling fan</v>
          </cell>
          <cell r="C554" t="str">
            <v>Nr</v>
          </cell>
          <cell r="D554">
            <v>5950</v>
          </cell>
          <cell r="E554">
            <v>59.5</v>
          </cell>
          <cell r="F554">
            <v>6009.5</v>
          </cell>
        </row>
        <row r="555">
          <cell r="A555">
            <v>2726</v>
          </cell>
          <cell r="B555" t="str">
            <v>300x300mm exhaust fan</v>
          </cell>
          <cell r="C555" t="str">
            <v>Nr</v>
          </cell>
          <cell r="D555">
            <v>4250</v>
          </cell>
          <cell r="E555">
            <v>42.5</v>
          </cell>
          <cell r="F555">
            <v>4292.5</v>
          </cell>
        </row>
        <row r="556">
          <cell r="A556">
            <v>2727</v>
          </cell>
          <cell r="B556" t="str">
            <v>Wall mounted fan</v>
          </cell>
          <cell r="C556" t="str">
            <v>Nr</v>
          </cell>
          <cell r="D556">
            <v>6250</v>
          </cell>
          <cell r="E556">
            <v>62.5</v>
          </cell>
          <cell r="F556">
            <v>6312.5</v>
          </cell>
        </row>
        <row r="557">
          <cell r="A557">
            <v>2728</v>
          </cell>
          <cell r="B557" t="str">
            <v>40 Amp single phase main switch</v>
          </cell>
          <cell r="C557" t="str">
            <v>Nr</v>
          </cell>
          <cell r="D557">
            <v>736</v>
          </cell>
          <cell r="E557">
            <v>7.36</v>
          </cell>
          <cell r="F557">
            <v>743.5</v>
          </cell>
        </row>
        <row r="558">
          <cell r="A558">
            <v>2729</v>
          </cell>
          <cell r="B558" t="str">
            <v>60 Amp single phase main switch</v>
          </cell>
          <cell r="C558" t="str">
            <v>Nr</v>
          </cell>
          <cell r="D558">
            <v>871</v>
          </cell>
          <cell r="E558">
            <v>8.7100000000000009</v>
          </cell>
          <cell r="F558">
            <v>879.5</v>
          </cell>
        </row>
        <row r="559">
          <cell r="A559">
            <v>2730</v>
          </cell>
          <cell r="B559" t="str">
            <v>40 Amp Circuit breaker</v>
          </cell>
          <cell r="C559" t="str">
            <v>Nr</v>
          </cell>
          <cell r="D559">
            <v>395</v>
          </cell>
          <cell r="E559">
            <v>3.95</v>
          </cell>
          <cell r="F559">
            <v>399</v>
          </cell>
        </row>
        <row r="560">
          <cell r="A560">
            <v>2731</v>
          </cell>
          <cell r="B560" t="str">
            <v>Distribution board with cover</v>
          </cell>
          <cell r="C560" t="str">
            <v>Nr</v>
          </cell>
          <cell r="D560">
            <v>1450</v>
          </cell>
          <cell r="E560">
            <v>14.5</v>
          </cell>
          <cell r="F560">
            <v>1464.5</v>
          </cell>
        </row>
        <row r="561">
          <cell r="A561">
            <v>2732</v>
          </cell>
          <cell r="B561" t="str">
            <v>40 Amp three phase main switch</v>
          </cell>
          <cell r="C561" t="str">
            <v>Nr</v>
          </cell>
          <cell r="D561">
            <v>1224</v>
          </cell>
          <cell r="E561">
            <v>12.24</v>
          </cell>
          <cell r="F561">
            <v>1236</v>
          </cell>
        </row>
        <row r="562">
          <cell r="A562">
            <v>2733</v>
          </cell>
          <cell r="B562" t="str">
            <v>60 Amp three phase main switch</v>
          </cell>
          <cell r="C562" t="str">
            <v>Nr</v>
          </cell>
          <cell r="D562">
            <v>1324</v>
          </cell>
          <cell r="E562">
            <v>13.24</v>
          </cell>
          <cell r="F562">
            <v>1337</v>
          </cell>
        </row>
        <row r="563">
          <cell r="A563">
            <v>2734</v>
          </cell>
          <cell r="B563" t="str">
            <v>40 Amp single phase RCCB (Trip switch)</v>
          </cell>
          <cell r="C563" t="str">
            <v>Nr</v>
          </cell>
          <cell r="D563">
            <v>2677</v>
          </cell>
          <cell r="E563">
            <v>26.77</v>
          </cell>
          <cell r="F563">
            <v>2704</v>
          </cell>
        </row>
        <row r="564">
          <cell r="A564">
            <v>2735</v>
          </cell>
          <cell r="B564" t="str">
            <v>60 Amp single phase RCCB (Trip switch)</v>
          </cell>
          <cell r="C564" t="str">
            <v>Nr</v>
          </cell>
          <cell r="D564">
            <v>2712</v>
          </cell>
          <cell r="E564">
            <v>27.12</v>
          </cell>
          <cell r="F564">
            <v>2739</v>
          </cell>
        </row>
        <row r="565">
          <cell r="A565">
            <v>2736</v>
          </cell>
          <cell r="B565" t="str">
            <v>40 Amp three phase RCCB (Trip switch)</v>
          </cell>
          <cell r="C565" t="str">
            <v>Nr</v>
          </cell>
          <cell r="D565">
            <v>3706</v>
          </cell>
          <cell r="E565">
            <v>37.06</v>
          </cell>
          <cell r="F565">
            <v>3743</v>
          </cell>
        </row>
        <row r="566">
          <cell r="A566">
            <v>2737</v>
          </cell>
          <cell r="B566" t="str">
            <v>60 Amp three phase RCCB (Trip switch)</v>
          </cell>
          <cell r="C566" t="str">
            <v>Nr</v>
          </cell>
          <cell r="D566">
            <v>3912</v>
          </cell>
          <cell r="E566">
            <v>39.119999999999997</v>
          </cell>
          <cell r="F566">
            <v>3951</v>
          </cell>
        </row>
        <row r="567">
          <cell r="A567">
            <v>2738</v>
          </cell>
          <cell r="B567" t="str">
            <v>Electrical Bell</v>
          </cell>
          <cell r="C567" t="str">
            <v>Nr</v>
          </cell>
          <cell r="D567">
            <v>500</v>
          </cell>
          <cell r="E567">
            <v>5</v>
          </cell>
          <cell r="F567">
            <v>505</v>
          </cell>
        </row>
        <row r="568">
          <cell r="A568">
            <v>2739</v>
          </cell>
          <cell r="B568" t="str">
            <v>GI earth electrode</v>
          </cell>
          <cell r="C568" t="str">
            <v>Nr</v>
          </cell>
          <cell r="D568">
            <v>990</v>
          </cell>
          <cell r="E568">
            <v>9.9</v>
          </cell>
          <cell r="F568">
            <v>1000</v>
          </cell>
        </row>
        <row r="569">
          <cell r="A569">
            <v>2740</v>
          </cell>
          <cell r="B569" t="str">
            <v>50x50x5.8 mm angle Iron</v>
          </cell>
          <cell r="C569" t="str">
            <v>m</v>
          </cell>
          <cell r="D569">
            <v>467</v>
          </cell>
          <cell r="E569">
            <v>4.67</v>
          </cell>
          <cell r="F569">
            <v>471.5</v>
          </cell>
        </row>
        <row r="570">
          <cell r="A570">
            <v>2741</v>
          </cell>
          <cell r="B570" t="str">
            <v>60 Amp Circuit breaker</v>
          </cell>
          <cell r="C570" t="str">
            <v>Nr</v>
          </cell>
          <cell r="D570">
            <v>395</v>
          </cell>
          <cell r="E570">
            <v>3.95</v>
          </cell>
          <cell r="F570">
            <v>399</v>
          </cell>
        </row>
        <row r="571">
          <cell r="B571" t="str">
            <v>Miscellaneous Work</v>
          </cell>
        </row>
        <row r="572">
          <cell r="A572">
            <v>2801</v>
          </cell>
          <cell r="B572" t="str">
            <v>PVC coated gauge 10 chain link mesh</v>
          </cell>
          <cell r="C572" t="str">
            <v>m2</v>
          </cell>
          <cell r="D572">
            <v>595</v>
          </cell>
          <cell r="E572">
            <v>5.95</v>
          </cell>
          <cell r="F572">
            <v>543.5</v>
          </cell>
        </row>
        <row r="573">
          <cell r="A573">
            <v>2802</v>
          </cell>
          <cell r="B573" t="str">
            <v>2" GI pipes (2mm)</v>
          </cell>
          <cell r="C573" t="str">
            <v>m</v>
          </cell>
          <cell r="D573">
            <v>1165</v>
          </cell>
          <cell r="E573">
            <v>11.65</v>
          </cell>
          <cell r="F573">
            <v>547.5</v>
          </cell>
        </row>
        <row r="574">
          <cell r="A574">
            <v>2803</v>
          </cell>
          <cell r="B574" t="str">
            <v>1 1/2" GI pipes (2mm)</v>
          </cell>
          <cell r="C574" t="str">
            <v>m</v>
          </cell>
          <cell r="D574">
            <v>459</v>
          </cell>
          <cell r="E574">
            <v>4.59</v>
          </cell>
          <cell r="F574">
            <v>463.5</v>
          </cell>
        </row>
        <row r="575">
          <cell r="A575">
            <v>2804</v>
          </cell>
          <cell r="B575" t="str">
            <v>1"  GI pipes (2mm)</v>
          </cell>
          <cell r="C575" t="str">
            <v>m</v>
          </cell>
          <cell r="D575">
            <v>367</v>
          </cell>
          <cell r="E575">
            <v>3.67</v>
          </cell>
          <cell r="F575">
            <v>370.5</v>
          </cell>
        </row>
        <row r="576">
          <cell r="A576">
            <v>2805</v>
          </cell>
          <cell r="B576" t="str">
            <v>Barbed wire</v>
          </cell>
          <cell r="C576" t="str">
            <v>m</v>
          </cell>
          <cell r="D576">
            <v>25.35</v>
          </cell>
          <cell r="E576">
            <v>0.25</v>
          </cell>
          <cell r="F576">
            <v>25.6</v>
          </cell>
        </row>
        <row r="577">
          <cell r="A577">
            <v>2806</v>
          </cell>
          <cell r="B577" t="str">
            <v>Hooks and washers</v>
          </cell>
          <cell r="C577" t="str">
            <v>Nr</v>
          </cell>
          <cell r="D577">
            <v>10.5</v>
          </cell>
          <cell r="E577">
            <v>0.11</v>
          </cell>
          <cell r="F577">
            <v>10.5</v>
          </cell>
        </row>
        <row r="578">
          <cell r="A578">
            <v>2807</v>
          </cell>
          <cell r="B578" t="str">
            <v>Concrete fence posts 6'-0"</v>
          </cell>
          <cell r="C578" t="str">
            <v>Nr</v>
          </cell>
          <cell r="D578">
            <v>930</v>
          </cell>
          <cell r="E578">
            <v>9.3000000000000007</v>
          </cell>
          <cell r="F578">
            <v>939.5</v>
          </cell>
        </row>
        <row r="579">
          <cell r="A579">
            <v>2808</v>
          </cell>
          <cell r="B579" t="str">
            <v>Concrete fence posts 6'-6"</v>
          </cell>
          <cell r="C579" t="str">
            <v>Nr</v>
          </cell>
          <cell r="D579">
            <v>1010</v>
          </cell>
          <cell r="E579">
            <v>10.1</v>
          </cell>
          <cell r="F579">
            <v>1020</v>
          </cell>
        </row>
        <row r="580">
          <cell r="A580">
            <v>2809</v>
          </cell>
          <cell r="B580" t="str">
            <v>Concrete fence posts 7'-0"</v>
          </cell>
          <cell r="C580" t="str">
            <v>Nr</v>
          </cell>
          <cell r="D580">
            <v>1100</v>
          </cell>
          <cell r="E580">
            <v>11</v>
          </cell>
          <cell r="F580">
            <v>1111</v>
          </cell>
        </row>
        <row r="581">
          <cell r="A581">
            <v>2810</v>
          </cell>
          <cell r="B581" t="str">
            <v>Concrete fence posts 8'-0"</v>
          </cell>
          <cell r="C581" t="str">
            <v>Nr</v>
          </cell>
          <cell r="D581">
            <v>1240</v>
          </cell>
          <cell r="E581">
            <v>12.4</v>
          </cell>
          <cell r="F581">
            <v>1252.5</v>
          </cell>
        </row>
        <row r="582">
          <cell r="A582">
            <v>2811</v>
          </cell>
          <cell r="B582" t="str">
            <v>Concrete fence posts 10'-6"</v>
          </cell>
          <cell r="C582" t="str">
            <v>Nr</v>
          </cell>
          <cell r="D582">
            <v>2850</v>
          </cell>
          <cell r="E582">
            <v>28.5</v>
          </cell>
          <cell r="F582">
            <v>2878.5</v>
          </cell>
        </row>
        <row r="583">
          <cell r="A583">
            <v>2812</v>
          </cell>
          <cell r="B583" t="str">
            <v>Concrete fence supporting posts for corner posts</v>
          </cell>
          <cell r="C583" t="str">
            <v>Nr</v>
          </cell>
          <cell r="D583">
            <v>1250</v>
          </cell>
          <cell r="E583">
            <v>12.5</v>
          </cell>
          <cell r="F583">
            <v>1262.5</v>
          </cell>
        </row>
        <row r="584">
          <cell r="A584">
            <v>2813</v>
          </cell>
          <cell r="B584" t="str">
            <v>2" GI pipes (1.8mm)</v>
          </cell>
          <cell r="C584" t="str">
            <v>m</v>
          </cell>
          <cell r="D584">
            <v>492</v>
          </cell>
          <cell r="E584">
            <v>4.92</v>
          </cell>
          <cell r="F584">
            <v>497</v>
          </cell>
        </row>
        <row r="585">
          <cell r="A585">
            <v>2814</v>
          </cell>
          <cell r="B585" t="str">
            <v>2" GI pipes (1.5mm)</v>
          </cell>
          <cell r="C585" t="str">
            <v>m</v>
          </cell>
          <cell r="D585">
            <v>459</v>
          </cell>
          <cell r="E585">
            <v>4.59</v>
          </cell>
          <cell r="F585">
            <v>463.5</v>
          </cell>
        </row>
        <row r="586">
          <cell r="A586">
            <v>2815</v>
          </cell>
          <cell r="B586" t="str">
            <v>1 1/2" GI pipes (1.8mm)</v>
          </cell>
          <cell r="C586" t="str">
            <v>m</v>
          </cell>
          <cell r="D586">
            <v>434</v>
          </cell>
          <cell r="E586">
            <v>4.34</v>
          </cell>
          <cell r="F586">
            <v>438.5</v>
          </cell>
        </row>
        <row r="587">
          <cell r="A587">
            <v>2816</v>
          </cell>
          <cell r="B587" t="str">
            <v>1 1/2" GI pipes (1.5mm)</v>
          </cell>
          <cell r="C587" t="str">
            <v>m</v>
          </cell>
          <cell r="D587">
            <v>359</v>
          </cell>
          <cell r="E587">
            <v>3.59</v>
          </cell>
          <cell r="F587">
            <v>362.5</v>
          </cell>
        </row>
        <row r="588">
          <cell r="A588">
            <v>2817</v>
          </cell>
          <cell r="B588" t="str">
            <v>1 1/4" GI pipes (2mm)</v>
          </cell>
          <cell r="C588" t="str">
            <v>m</v>
          </cell>
          <cell r="D588">
            <v>409</v>
          </cell>
          <cell r="E588">
            <v>4.09</v>
          </cell>
          <cell r="F588">
            <v>413</v>
          </cell>
        </row>
        <row r="589">
          <cell r="A589">
            <v>2818</v>
          </cell>
          <cell r="B589" t="str">
            <v>1 1/4" GI pipes (1.8mm)</v>
          </cell>
          <cell r="C589" t="str">
            <v>m</v>
          </cell>
          <cell r="D589">
            <v>359</v>
          </cell>
          <cell r="E589">
            <v>3.59</v>
          </cell>
          <cell r="F589">
            <v>362.5</v>
          </cell>
        </row>
        <row r="590">
          <cell r="A590">
            <v>2819</v>
          </cell>
          <cell r="B590" t="str">
            <v>1 1/4" GI pipes (1.5mm)</v>
          </cell>
          <cell r="C590" t="str">
            <v>m</v>
          </cell>
          <cell r="D590">
            <v>267</v>
          </cell>
          <cell r="E590">
            <v>2.67</v>
          </cell>
          <cell r="F590">
            <v>269.5</v>
          </cell>
        </row>
        <row r="591">
          <cell r="A591">
            <v>2820</v>
          </cell>
          <cell r="B591" t="str">
            <v>1 " GI pipes (1.8mm)</v>
          </cell>
          <cell r="C591" t="str">
            <v>m</v>
          </cell>
          <cell r="D591">
            <v>292</v>
          </cell>
          <cell r="E591">
            <v>2.92</v>
          </cell>
          <cell r="F591">
            <v>295</v>
          </cell>
        </row>
        <row r="592">
          <cell r="A592">
            <v>2821</v>
          </cell>
          <cell r="B592" t="str">
            <v>1 " GI pipes (1.5mm)</v>
          </cell>
          <cell r="C592" t="str">
            <v>m</v>
          </cell>
          <cell r="D592">
            <v>234</v>
          </cell>
          <cell r="E592">
            <v>2.34</v>
          </cell>
          <cell r="F592">
            <v>236.5</v>
          </cell>
        </row>
        <row r="593">
          <cell r="A593">
            <v>2822</v>
          </cell>
          <cell r="B593" t="str">
            <v>12mm thick MDF board</v>
          </cell>
          <cell r="C593" t="str">
            <v>m2</v>
          </cell>
          <cell r="D593">
            <v>718</v>
          </cell>
          <cell r="E593">
            <v>7.18</v>
          </cell>
          <cell r="F593">
            <v>725</v>
          </cell>
        </row>
        <row r="594">
          <cell r="A594">
            <v>2823</v>
          </cell>
          <cell r="B594" t="str">
            <v>12 mm thick regiform board</v>
          </cell>
          <cell r="C594" t="str">
            <v>m2</v>
          </cell>
          <cell r="D594">
            <v>131</v>
          </cell>
          <cell r="E594">
            <v>1.31</v>
          </cell>
          <cell r="F594">
            <v>132.5</v>
          </cell>
        </row>
        <row r="595">
          <cell r="A595">
            <v>2824</v>
          </cell>
          <cell r="B595" t="str">
            <v>Velvet cloth</v>
          </cell>
          <cell r="C595" t="str">
            <v>m2</v>
          </cell>
          <cell r="D595">
            <v>150</v>
          </cell>
          <cell r="E595">
            <v>1.5</v>
          </cell>
          <cell r="F595">
            <v>151.5</v>
          </cell>
        </row>
        <row r="599">
          <cell r="A599" t="str">
            <v xml:space="preserve">Prepared and Checked by B.S.R. Preparation Committee </v>
          </cell>
        </row>
        <row r="601">
          <cell r="A601" t="str">
            <v>1.</v>
          </cell>
          <cell r="B601" t="str">
            <v>Chairman : Eng. P. S. S. Vithanage, Chief Engineer (Buildings)</v>
          </cell>
        </row>
        <row r="603">
          <cell r="A603" t="str">
            <v>2</v>
          </cell>
          <cell r="B603" t="str">
            <v>Member 1 : Eng H.M Jayarathna, Chief Engineer (Buildings)</v>
          </cell>
        </row>
        <row r="605">
          <cell r="A605" t="str">
            <v>3</v>
          </cell>
          <cell r="B605" t="str">
            <v>Member 2 : Eng H.M Dharmarathna, Engineer</v>
          </cell>
        </row>
        <row r="607">
          <cell r="A607" t="str">
            <v>4</v>
          </cell>
          <cell r="B607" t="str">
            <v>Member 3 : Eng. D.M.R. Dhanapala, Engineer</v>
          </cell>
        </row>
        <row r="611">
          <cell r="A611" t="str">
            <v>Recommended by :</v>
          </cell>
        </row>
        <row r="614">
          <cell r="B614" t="str">
            <v>……………………………….</v>
          </cell>
        </row>
        <row r="615">
          <cell r="B615" t="str">
            <v>Eng. D. M. K. S. Dissanayake</v>
          </cell>
        </row>
        <row r="616">
          <cell r="B616" t="str">
            <v>Provincial Director ( Buildings)</v>
          </cell>
        </row>
        <row r="618">
          <cell r="A618" t="str">
            <v>Approved by:</v>
          </cell>
        </row>
        <row r="621">
          <cell r="B621" t="str">
            <v>………………………………….</v>
          </cell>
        </row>
        <row r="622">
          <cell r="B622" t="str">
            <v>Eng. M.L.C. Fernandu</v>
          </cell>
        </row>
        <row r="623">
          <cell r="B623" t="str">
            <v>Deputy Chief Secretary ( Engineering Services)</v>
          </cell>
        </row>
      </sheetData>
      <sheetData sheetId="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_(9)"/>
      <sheetName val="SCHEDULE_(8)"/>
      <sheetName val="SCHEDULE_(7)"/>
      <sheetName val="SCHEDULE_(6)"/>
      <sheetName val="SCHEDULE_(5)"/>
      <sheetName val="SCHEDULE_(4)"/>
      <sheetName val="SCHEDULE_(3)"/>
      <sheetName val="SCHEDULE_(2)"/>
      <sheetName val="SCHEDULE"/>
      <sheetName val="Shape_Codes"/>
      <sheetName val="Database"/>
      <sheetName val="Help"/>
      <sheetName val="Setup"/>
      <sheetName val="About"/>
      <sheetName val="More"/>
      <sheetName val="page"/>
      <sheetName val="Info"/>
      <sheetName val="check"/>
      <sheetName val="schedule_nos"/>
      <sheetName val="Shape_cords"/>
      <sheetName val="SCHEDULE (9)"/>
      <sheetName val="SCHEDULE (8)"/>
      <sheetName val="SCHEDULE (7)"/>
      <sheetName val="SCHEDULE (6)"/>
      <sheetName val="SCHEDULE (5)"/>
      <sheetName val="SCHEDULE (4)"/>
      <sheetName val="SCHEDULE (3)"/>
      <sheetName val="SCHEDULE (2)"/>
      <sheetName val="Shape Codes"/>
      <sheetName val="schedule nos"/>
      <sheetName val="Shape cords"/>
    </sheetNames>
    <sheetDataSet>
      <sheetData sheetId="0"/>
      <sheetData sheetId="1"/>
      <sheetData sheetId="2"/>
      <sheetData sheetId="3"/>
      <sheetData sheetId="4"/>
      <sheetData sheetId="5"/>
      <sheetData sheetId="6"/>
      <sheetData sheetId="7"/>
      <sheetData sheetId="8">
        <row r="10">
          <cell r="AJ10">
            <v>0</v>
          </cell>
        </row>
        <row r="11">
          <cell r="AJ11">
            <v>0</v>
          </cell>
        </row>
        <row r="12">
          <cell r="AJ12">
            <v>0</v>
          </cell>
        </row>
        <row r="13">
          <cell r="AJ13">
            <v>0</v>
          </cell>
        </row>
        <row r="14">
          <cell r="AJ14">
            <v>0</v>
          </cell>
        </row>
        <row r="15">
          <cell r="AJ15">
            <v>0</v>
          </cell>
        </row>
        <row r="16">
          <cell r="AJ16">
            <v>0</v>
          </cell>
        </row>
        <row r="17">
          <cell r="AJ17">
            <v>0</v>
          </cell>
        </row>
        <row r="18">
          <cell r="AJ18">
            <v>0</v>
          </cell>
        </row>
        <row r="19">
          <cell r="AJ19">
            <v>0</v>
          </cell>
        </row>
        <row r="20">
          <cell r="AJ20">
            <v>0</v>
          </cell>
        </row>
        <row r="21">
          <cell r="AJ21">
            <v>0</v>
          </cell>
        </row>
        <row r="22">
          <cell r="AJ22">
            <v>0</v>
          </cell>
        </row>
        <row r="23">
          <cell r="AJ23">
            <v>0</v>
          </cell>
        </row>
        <row r="24">
          <cell r="AJ24">
            <v>0</v>
          </cell>
        </row>
        <row r="25">
          <cell r="AJ25">
            <v>0</v>
          </cell>
        </row>
        <row r="26">
          <cell r="AJ26">
            <v>0</v>
          </cell>
        </row>
        <row r="27">
          <cell r="AJ27">
            <v>0</v>
          </cell>
        </row>
        <row r="28">
          <cell r="AJ28">
            <v>0</v>
          </cell>
        </row>
        <row r="29">
          <cell r="AJ29">
            <v>0</v>
          </cell>
        </row>
        <row r="30">
          <cell r="AJ30">
            <v>0</v>
          </cell>
        </row>
        <row r="31">
          <cell r="AJ31">
            <v>0</v>
          </cell>
        </row>
        <row r="32">
          <cell r="AJ32">
            <v>0</v>
          </cell>
        </row>
      </sheetData>
      <sheetData sheetId="9"/>
      <sheetData sheetId="10">
        <row r="7">
          <cell r="B7" t="str">
            <v>Example Job 1</v>
          </cell>
          <cell r="C7">
            <v>990001</v>
          </cell>
          <cell r="D7" t="str">
            <v>ABC</v>
          </cell>
        </row>
        <row r="8">
          <cell r="B8" t="str">
            <v>Example Job 2</v>
          </cell>
          <cell r="C8">
            <v>990002</v>
          </cell>
          <cell r="D8" t="str">
            <v>DEF</v>
          </cell>
        </row>
        <row r="9">
          <cell r="B9" t="str">
            <v>Example Job 3</v>
          </cell>
          <cell r="C9">
            <v>990003</v>
          </cell>
          <cell r="D9" t="str">
            <v>GHJ</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ow r="1">
          <cell r="A1">
            <v>1</v>
          </cell>
        </row>
      </sheetData>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sheetData>
      <sheetData sheetId="3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1 "/>
      <sheetName val="B-2"/>
      <sheetName val="B 3"/>
      <sheetName val="B-4"/>
      <sheetName val="S M B-4"/>
      <sheetName val="B-5"/>
      <sheetName val="S M B-5"/>
      <sheetName val="B-6"/>
      <sheetName val="B-7"/>
      <sheetName val="B-8"/>
      <sheetName val="DWS"/>
      <sheetName val="Main sum"/>
      <sheetName val="S M B-5 (2)"/>
      <sheetName val="Add 01"/>
      <sheetName val="Main sum 2"/>
      <sheetName val="Main sum 3"/>
      <sheetName val="B-3"/>
      <sheetName val="tables"/>
    </sheetNames>
    <sheetDataSet>
      <sheetData sheetId="0"/>
      <sheetData sheetId="1" refreshError="1">
        <row r="1">
          <cell r="J1">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1 "/>
      <sheetName val="B-2"/>
      <sheetName val="B 3"/>
      <sheetName val="B-4"/>
      <sheetName val="S M B-4"/>
      <sheetName val="B-5"/>
      <sheetName val="S M B-5"/>
      <sheetName val="B-6"/>
      <sheetName val="B-7"/>
      <sheetName val="B-8"/>
      <sheetName val="DWS"/>
      <sheetName val="Main sum"/>
      <sheetName val="S M B-5 (2)"/>
      <sheetName val="Add 01"/>
      <sheetName val="Main sum 2"/>
      <sheetName val="Main sum 3"/>
    </sheetNames>
    <sheetDataSet>
      <sheetData sheetId="0"/>
      <sheetData sheetId="1">
        <row r="1">
          <cell r="J1">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Page"/>
      <sheetName val="Contents"/>
      <sheetName val="Instructions"/>
      <sheetName val="Material Prices"/>
      <sheetName val="Rate Analysis"/>
      <sheetName val="Rate Book"/>
      <sheetName val="Aluminium"/>
      <sheetName val="New item(discri)"/>
      <sheetName val="Sheet1"/>
      <sheetName val="Publicbuilding"/>
      <sheetName val="BQLIST"/>
    </sheetNames>
    <sheetDataSet>
      <sheetData sheetId="0"/>
      <sheetData sheetId="1"/>
      <sheetData sheetId="2"/>
      <sheetData sheetId="3">
        <row r="5">
          <cell r="A5" t="str">
            <v>ITEM</v>
          </cell>
          <cell r="B5" t="str">
            <v>DESCRIPTION</v>
          </cell>
          <cell r="C5" t="str">
            <v>UNIT</v>
          </cell>
          <cell r="D5" t="str">
            <v>MARKETPRICE</v>
          </cell>
          <cell r="E5" t="str">
            <v>TRANSPORTCOST</v>
          </cell>
          <cell r="F5" t="str">
            <v>PROPOSEDRATE</v>
          </cell>
        </row>
        <row r="6">
          <cell r="B6" t="str">
            <v>LABOUR</v>
          </cell>
        </row>
        <row r="7">
          <cell r="A7">
            <v>101</v>
          </cell>
          <cell r="B7" t="str">
            <v>Skilled Labour</v>
          </cell>
          <cell r="C7" t="str">
            <v>day</v>
          </cell>
          <cell r="D7">
            <v>800</v>
          </cell>
          <cell r="F7">
            <v>800</v>
          </cell>
        </row>
        <row r="8">
          <cell r="A8">
            <v>102</v>
          </cell>
          <cell r="B8" t="str">
            <v>Semiskilled Labour</v>
          </cell>
          <cell r="C8" t="str">
            <v>day</v>
          </cell>
          <cell r="D8">
            <v>700</v>
          </cell>
          <cell r="F8">
            <v>700</v>
          </cell>
        </row>
        <row r="9">
          <cell r="A9">
            <v>103</v>
          </cell>
          <cell r="B9" t="str">
            <v>Unskilled Labour</v>
          </cell>
          <cell r="C9" t="str">
            <v>day</v>
          </cell>
          <cell r="D9">
            <v>500</v>
          </cell>
          <cell r="F9">
            <v>500</v>
          </cell>
        </row>
        <row r="10">
          <cell r="A10">
            <v>104</v>
          </cell>
          <cell r="B10" t="str">
            <v>Mason</v>
          </cell>
          <cell r="C10" t="str">
            <v>day</v>
          </cell>
          <cell r="D10">
            <v>800</v>
          </cell>
          <cell r="F10">
            <v>800</v>
          </cell>
        </row>
        <row r="11">
          <cell r="A11">
            <v>105</v>
          </cell>
          <cell r="B11" t="str">
            <v>Carpenter</v>
          </cell>
          <cell r="C11" t="str">
            <v>day</v>
          </cell>
          <cell r="D11">
            <v>800</v>
          </cell>
          <cell r="F11">
            <v>800</v>
          </cell>
        </row>
        <row r="12">
          <cell r="A12">
            <v>106</v>
          </cell>
          <cell r="B12" t="str">
            <v>Plumber</v>
          </cell>
          <cell r="C12" t="str">
            <v>day</v>
          </cell>
          <cell r="D12">
            <v>800</v>
          </cell>
          <cell r="F12">
            <v>800</v>
          </cell>
        </row>
        <row r="13">
          <cell r="A13">
            <v>107</v>
          </cell>
          <cell r="B13" t="str">
            <v>Painter</v>
          </cell>
          <cell r="C13" t="str">
            <v>day</v>
          </cell>
          <cell r="D13">
            <v>800</v>
          </cell>
          <cell r="F13">
            <v>800</v>
          </cell>
        </row>
        <row r="14">
          <cell r="A14">
            <v>108</v>
          </cell>
          <cell r="B14" t="str">
            <v>Welder</v>
          </cell>
          <cell r="C14" t="str">
            <v>day</v>
          </cell>
          <cell r="D14">
            <v>800</v>
          </cell>
          <cell r="F14">
            <v>800</v>
          </cell>
        </row>
        <row r="15">
          <cell r="A15">
            <v>109</v>
          </cell>
          <cell r="B15" t="str">
            <v>Bar Bender</v>
          </cell>
          <cell r="C15" t="str">
            <v>day</v>
          </cell>
          <cell r="D15">
            <v>800</v>
          </cell>
          <cell r="F15">
            <v>800</v>
          </cell>
        </row>
        <row r="16">
          <cell r="B16" t="str">
            <v>MACHINES</v>
          </cell>
        </row>
        <row r="17">
          <cell r="A17">
            <v>201</v>
          </cell>
          <cell r="B17" t="str">
            <v>Concrete Mixer</v>
          </cell>
          <cell r="C17" t="str">
            <v>day</v>
          </cell>
          <cell r="D17">
            <v>5000</v>
          </cell>
          <cell r="F17">
            <v>5000</v>
          </cell>
        </row>
        <row r="18">
          <cell r="A18">
            <v>202</v>
          </cell>
          <cell r="B18" t="str">
            <v>Pocker vibrator</v>
          </cell>
          <cell r="C18" t="str">
            <v>day</v>
          </cell>
          <cell r="D18">
            <v>2000</v>
          </cell>
          <cell r="F18">
            <v>2000</v>
          </cell>
        </row>
        <row r="19">
          <cell r="A19">
            <v>203</v>
          </cell>
          <cell r="B19" t="str">
            <v xml:space="preserve">   Vibrating roller (one ton)</v>
          </cell>
          <cell r="C19" t="str">
            <v>day</v>
          </cell>
          <cell r="D19">
            <v>4500</v>
          </cell>
          <cell r="F19">
            <v>4500</v>
          </cell>
        </row>
        <row r="20">
          <cell r="A20">
            <v>204</v>
          </cell>
          <cell r="B20" t="str">
            <v xml:space="preserve">    Tractor</v>
          </cell>
          <cell r="C20" t="str">
            <v>day</v>
          </cell>
          <cell r="D20">
            <v>5000</v>
          </cell>
          <cell r="F20">
            <v>5000</v>
          </cell>
        </row>
        <row r="22">
          <cell r="B22" t="str">
            <v>MATERIALS</v>
          </cell>
        </row>
        <row r="23">
          <cell r="B23" t="str">
            <v>Earth Work</v>
          </cell>
        </row>
        <row r="24">
          <cell r="A24">
            <v>301</v>
          </cell>
          <cell r="B24" t="str">
            <v>Baskets</v>
          </cell>
          <cell r="C24" t="str">
            <v>Nr</v>
          </cell>
          <cell r="D24">
            <v>110</v>
          </cell>
          <cell r="F24">
            <v>110</v>
          </cell>
        </row>
        <row r="25">
          <cell r="A25">
            <v>302</v>
          </cell>
          <cell r="B25" t="str">
            <v>Gravel</v>
          </cell>
          <cell r="C25" t="str">
            <v>m3</v>
          </cell>
          <cell r="D25">
            <v>265</v>
          </cell>
          <cell r="F25">
            <v>265</v>
          </cell>
        </row>
        <row r="26">
          <cell r="A26">
            <v>303</v>
          </cell>
          <cell r="B26" t="str">
            <v>Earth</v>
          </cell>
          <cell r="C26" t="str">
            <v>m3</v>
          </cell>
          <cell r="D26">
            <v>124</v>
          </cell>
          <cell r="F26">
            <v>124</v>
          </cell>
        </row>
        <row r="27">
          <cell r="A27">
            <v>304</v>
          </cell>
          <cell r="B27" t="str">
            <v>Blasting powder</v>
          </cell>
          <cell r="C27" t="str">
            <v>kg</v>
          </cell>
          <cell r="D27">
            <v>650</v>
          </cell>
          <cell r="E27">
            <v>6.5</v>
          </cell>
          <cell r="F27">
            <v>657</v>
          </cell>
        </row>
        <row r="28">
          <cell r="A28">
            <v>305</v>
          </cell>
          <cell r="B28" t="str">
            <v>Safety fuse</v>
          </cell>
          <cell r="C28" t="str">
            <v>m</v>
          </cell>
          <cell r="D28">
            <v>42.5</v>
          </cell>
          <cell r="E28">
            <v>0.43</v>
          </cell>
          <cell r="F28">
            <v>43</v>
          </cell>
        </row>
        <row r="29">
          <cell r="A29">
            <v>306</v>
          </cell>
          <cell r="B29" t="str">
            <v>Detonators</v>
          </cell>
          <cell r="C29" t="str">
            <v>Nr</v>
          </cell>
          <cell r="D29">
            <v>30.8</v>
          </cell>
          <cell r="E29">
            <v>0.31</v>
          </cell>
          <cell r="F29">
            <v>31</v>
          </cell>
        </row>
        <row r="30">
          <cell r="B30" t="str">
            <v>Concrete Work</v>
          </cell>
        </row>
        <row r="31">
          <cell r="A31">
            <v>401</v>
          </cell>
          <cell r="B31" t="str">
            <v>Sand</v>
          </cell>
          <cell r="C31" t="str">
            <v>m3</v>
          </cell>
          <cell r="D31">
            <v>495</v>
          </cell>
          <cell r="F31">
            <v>495</v>
          </cell>
        </row>
        <row r="32">
          <cell r="A32">
            <v>402</v>
          </cell>
          <cell r="B32" t="str">
            <v>Cement</v>
          </cell>
          <cell r="C32" t="str">
            <v>bag</v>
          </cell>
          <cell r="D32">
            <v>810</v>
          </cell>
          <cell r="F32">
            <v>810</v>
          </cell>
        </row>
        <row r="33">
          <cell r="A33">
            <v>403</v>
          </cell>
          <cell r="B33" t="str">
            <v>Metal 50mm</v>
          </cell>
          <cell r="C33" t="str">
            <v>m3</v>
          </cell>
          <cell r="D33">
            <v>1770</v>
          </cell>
          <cell r="F33">
            <v>1770</v>
          </cell>
        </row>
        <row r="34">
          <cell r="A34">
            <v>404</v>
          </cell>
          <cell r="B34" t="str">
            <v>Metal 38mm</v>
          </cell>
          <cell r="C34" t="str">
            <v>m3</v>
          </cell>
          <cell r="D34">
            <v>1838</v>
          </cell>
          <cell r="F34">
            <v>1838</v>
          </cell>
        </row>
        <row r="35">
          <cell r="A35">
            <v>405</v>
          </cell>
          <cell r="B35" t="str">
            <v>Metal 25mm</v>
          </cell>
          <cell r="C35" t="str">
            <v>m3</v>
          </cell>
          <cell r="D35">
            <v>1945</v>
          </cell>
          <cell r="F35">
            <v>1945</v>
          </cell>
        </row>
        <row r="36">
          <cell r="A36">
            <v>406</v>
          </cell>
          <cell r="B36" t="str">
            <v>Metal 20mm</v>
          </cell>
          <cell r="C36" t="str">
            <v>m3</v>
          </cell>
          <cell r="D36">
            <v>2050</v>
          </cell>
          <cell r="F36">
            <v>2050</v>
          </cell>
        </row>
        <row r="37">
          <cell r="A37">
            <v>407</v>
          </cell>
          <cell r="B37" t="str">
            <v>Metal 12.5mm</v>
          </cell>
          <cell r="C37" t="str">
            <v>m3</v>
          </cell>
          <cell r="D37">
            <v>1485</v>
          </cell>
          <cell r="F37">
            <v>1485</v>
          </cell>
        </row>
        <row r="38">
          <cell r="B38" t="str">
            <v>Formwork</v>
          </cell>
          <cell r="F38">
            <v>0</v>
          </cell>
        </row>
        <row r="39">
          <cell r="A39">
            <v>501</v>
          </cell>
          <cell r="B39" t="str">
            <v>Shuttering planks - 25mm thick</v>
          </cell>
          <cell r="C39" t="str">
            <v>m2</v>
          </cell>
          <cell r="D39">
            <v>444</v>
          </cell>
          <cell r="E39">
            <v>4.4400000000000004</v>
          </cell>
          <cell r="F39">
            <v>448.5</v>
          </cell>
        </row>
        <row r="40">
          <cell r="A40">
            <v>502</v>
          </cell>
          <cell r="B40" t="str">
            <v>Plywood sheets - 20mm thick</v>
          </cell>
          <cell r="C40" t="str">
            <v>m2</v>
          </cell>
          <cell r="D40">
            <v>1043</v>
          </cell>
          <cell r="E40">
            <v>10.43</v>
          </cell>
          <cell r="F40">
            <v>1053.5</v>
          </cell>
        </row>
        <row r="41">
          <cell r="A41">
            <v>503</v>
          </cell>
          <cell r="B41" t="str">
            <v>Round timber 3m</v>
          </cell>
          <cell r="C41" t="str">
            <v>Nr</v>
          </cell>
          <cell r="D41">
            <v>60</v>
          </cell>
          <cell r="E41">
            <v>0.6</v>
          </cell>
          <cell r="F41">
            <v>60.5</v>
          </cell>
        </row>
        <row r="42">
          <cell r="A42">
            <v>504</v>
          </cell>
          <cell r="B42" t="str">
            <v>Bamboo 3m</v>
          </cell>
          <cell r="C42" t="str">
            <v>Nr</v>
          </cell>
          <cell r="D42">
            <v>60</v>
          </cell>
          <cell r="E42">
            <v>0.6</v>
          </cell>
          <cell r="F42">
            <v>60.6</v>
          </cell>
        </row>
        <row r="43">
          <cell r="A43">
            <v>505</v>
          </cell>
          <cell r="B43" t="str">
            <v>100mmx50mm class II timber</v>
          </cell>
          <cell r="C43" t="str">
            <v>m</v>
          </cell>
          <cell r="D43">
            <v>193.2</v>
          </cell>
          <cell r="E43">
            <v>1.93</v>
          </cell>
          <cell r="F43">
            <v>195</v>
          </cell>
        </row>
        <row r="44">
          <cell r="A44">
            <v>506</v>
          </cell>
          <cell r="B44" t="str">
            <v>50mmx50mm class II timber</v>
          </cell>
          <cell r="C44" t="str">
            <v>m</v>
          </cell>
          <cell r="D44">
            <v>109</v>
          </cell>
          <cell r="E44">
            <v>1.0900000000000001</v>
          </cell>
          <cell r="F44">
            <v>110</v>
          </cell>
        </row>
        <row r="45">
          <cell r="A45">
            <v>507</v>
          </cell>
          <cell r="B45" t="str">
            <v>Nail</v>
          </cell>
          <cell r="C45" t="str">
            <v>kg</v>
          </cell>
          <cell r="D45">
            <v>125</v>
          </cell>
          <cell r="E45">
            <v>1.25</v>
          </cell>
          <cell r="F45">
            <v>126.5</v>
          </cell>
        </row>
        <row r="46">
          <cell r="A46">
            <v>508</v>
          </cell>
          <cell r="B46" t="str">
            <v>Mould oil</v>
          </cell>
          <cell r="C46" t="str">
            <v>l</v>
          </cell>
          <cell r="D46">
            <v>89</v>
          </cell>
          <cell r="E46">
            <v>0.89</v>
          </cell>
          <cell r="F46">
            <v>90</v>
          </cell>
        </row>
        <row r="47">
          <cell r="A47">
            <v>509</v>
          </cell>
          <cell r="B47" t="str">
            <v>10mm dia. 450mm bolts</v>
          </cell>
          <cell r="C47" t="str">
            <v>Nr</v>
          </cell>
          <cell r="D47">
            <v>68</v>
          </cell>
          <cell r="E47">
            <v>0.68</v>
          </cell>
          <cell r="F47">
            <v>69</v>
          </cell>
        </row>
        <row r="48">
          <cell r="B48" t="str">
            <v>Reinforcement</v>
          </cell>
        </row>
        <row r="49">
          <cell r="A49">
            <v>601</v>
          </cell>
          <cell r="B49" t="str">
            <v>Steel  MS - 6mm</v>
          </cell>
          <cell r="C49" t="str">
            <v>kg</v>
          </cell>
          <cell r="D49">
            <v>78.400000000000006</v>
          </cell>
          <cell r="E49">
            <v>1.57</v>
          </cell>
          <cell r="F49">
            <v>80</v>
          </cell>
        </row>
        <row r="50">
          <cell r="A50">
            <v>602</v>
          </cell>
          <cell r="B50" t="str">
            <v>Steel  MS - &gt;6mm</v>
          </cell>
          <cell r="C50" t="str">
            <v>kg</v>
          </cell>
          <cell r="D50">
            <v>113</v>
          </cell>
          <cell r="E50">
            <v>2.2599999999999998</v>
          </cell>
          <cell r="F50">
            <v>115.5</v>
          </cell>
        </row>
        <row r="51">
          <cell r="A51">
            <v>603</v>
          </cell>
          <cell r="B51" t="str">
            <v>Steel  TS</v>
          </cell>
          <cell r="C51" t="str">
            <v>kg</v>
          </cell>
          <cell r="D51">
            <v>113</v>
          </cell>
          <cell r="E51">
            <v>2.2599999999999998</v>
          </cell>
          <cell r="F51">
            <v>115.5</v>
          </cell>
        </row>
        <row r="52">
          <cell r="A52">
            <v>604</v>
          </cell>
          <cell r="B52" t="str">
            <v>Binding wire</v>
          </cell>
          <cell r="C52" t="str">
            <v>kg</v>
          </cell>
          <cell r="D52">
            <v>130</v>
          </cell>
          <cell r="E52">
            <v>2.6</v>
          </cell>
          <cell r="F52">
            <v>132</v>
          </cell>
        </row>
        <row r="53">
          <cell r="B53" t="str">
            <v>Brick Work</v>
          </cell>
        </row>
        <row r="54">
          <cell r="A54">
            <v>701</v>
          </cell>
          <cell r="B54" t="str">
            <v>Bricks 220x105x65mm</v>
          </cell>
          <cell r="C54" t="str">
            <v>Nr</v>
          </cell>
          <cell r="D54">
            <v>4.5</v>
          </cell>
          <cell r="F54">
            <v>4.5</v>
          </cell>
        </row>
        <row r="55">
          <cell r="A55">
            <v>702</v>
          </cell>
          <cell r="B55" t="str">
            <v>Wire cut bricks</v>
          </cell>
          <cell r="C55" t="str">
            <v>Nr</v>
          </cell>
          <cell r="D55">
            <v>18</v>
          </cell>
          <cell r="F55">
            <v>18</v>
          </cell>
        </row>
        <row r="56">
          <cell r="A56">
            <v>703</v>
          </cell>
          <cell r="B56" t="str">
            <v>Batik bricks</v>
          </cell>
          <cell r="C56" t="str">
            <v>Nr</v>
          </cell>
          <cell r="D56">
            <v>22</v>
          </cell>
          <cell r="F56">
            <v>22</v>
          </cell>
        </row>
        <row r="57">
          <cell r="A57">
            <v>704</v>
          </cell>
          <cell r="B57" t="str">
            <v>Bricks 220x105x100mm</v>
          </cell>
          <cell r="C57" t="str">
            <v>Nr</v>
          </cell>
          <cell r="D57">
            <v>6</v>
          </cell>
          <cell r="F57">
            <v>6</v>
          </cell>
        </row>
        <row r="58">
          <cell r="A58">
            <v>705</v>
          </cell>
          <cell r="B58" t="str">
            <v>Bricks 220x150x100mm</v>
          </cell>
          <cell r="C58" t="str">
            <v>Nr</v>
          </cell>
          <cell r="D58">
            <v>7</v>
          </cell>
          <cell r="F58">
            <v>7</v>
          </cell>
        </row>
        <row r="59">
          <cell r="B59" t="str">
            <v>Masonry</v>
          </cell>
        </row>
        <row r="60">
          <cell r="A60">
            <v>801</v>
          </cell>
          <cell r="B60" t="str">
            <v>150x225mm rubble</v>
          </cell>
          <cell r="C60" t="str">
            <v>m3</v>
          </cell>
          <cell r="D60">
            <v>700</v>
          </cell>
          <cell r="F60">
            <v>700</v>
          </cell>
        </row>
        <row r="61">
          <cell r="A61">
            <v>802</v>
          </cell>
          <cell r="B61" t="str">
            <v>DPC Tar</v>
          </cell>
          <cell r="C61" t="str">
            <v>l</v>
          </cell>
          <cell r="D61">
            <v>96</v>
          </cell>
          <cell r="E61">
            <v>0.96</v>
          </cell>
          <cell r="F61">
            <v>97</v>
          </cell>
        </row>
        <row r="62">
          <cell r="B62" t="str">
            <v>Pavior</v>
          </cell>
        </row>
        <row r="63">
          <cell r="A63">
            <v>901</v>
          </cell>
          <cell r="B63" t="str">
            <v>Antitermite treatment - Sub contractors rate</v>
          </cell>
          <cell r="C63" t="str">
            <v>m2</v>
          </cell>
          <cell r="D63">
            <v>269</v>
          </cell>
          <cell r="F63">
            <v>269</v>
          </cell>
        </row>
        <row r="64">
          <cell r="A64">
            <v>902</v>
          </cell>
          <cell r="B64" t="str">
            <v>Water proofing - Sub contractors rate</v>
          </cell>
          <cell r="C64" t="str">
            <v>m2</v>
          </cell>
          <cell r="D64">
            <v>1126</v>
          </cell>
          <cell r="F64">
            <v>1126</v>
          </cell>
        </row>
        <row r="65">
          <cell r="A65">
            <v>903</v>
          </cell>
          <cell r="B65" t="str">
            <v>Gauge 1000 polythene</v>
          </cell>
          <cell r="C65" t="str">
            <v>m2</v>
          </cell>
          <cell r="D65">
            <v>66</v>
          </cell>
          <cell r="E65">
            <v>0.66</v>
          </cell>
          <cell r="F65">
            <v>66.66</v>
          </cell>
        </row>
        <row r="66">
          <cell r="A66">
            <v>904</v>
          </cell>
          <cell r="B66" t="str">
            <v>Crystaline waterproofing material (XYPEX concentrate)</v>
          </cell>
          <cell r="C66" t="str">
            <v>kg</v>
          </cell>
          <cell r="D66">
            <v>1065</v>
          </cell>
          <cell r="F66">
            <v>1065</v>
          </cell>
        </row>
        <row r="67">
          <cell r="B67" t="str">
            <v>Tiller</v>
          </cell>
          <cell r="F67">
            <v>0</v>
          </cell>
        </row>
        <row r="68">
          <cell r="A68">
            <v>1001</v>
          </cell>
          <cell r="B68" t="str">
            <v>100x100 glazed wall tiles</v>
          </cell>
          <cell r="C68" t="str">
            <v>Nr</v>
          </cell>
          <cell r="D68">
            <v>14</v>
          </cell>
          <cell r="E68">
            <v>0.14000000000000001</v>
          </cell>
          <cell r="F68">
            <v>14.5</v>
          </cell>
        </row>
        <row r="69">
          <cell r="A69">
            <v>1002</v>
          </cell>
          <cell r="B69" t="str">
            <v>150x150 glazed wall tiles</v>
          </cell>
          <cell r="C69" t="str">
            <v>Nr</v>
          </cell>
          <cell r="D69">
            <v>26</v>
          </cell>
          <cell r="E69">
            <v>0.26</v>
          </cell>
          <cell r="F69">
            <v>26.5</v>
          </cell>
        </row>
        <row r="70">
          <cell r="A70">
            <v>1003</v>
          </cell>
          <cell r="B70" t="str">
            <v>200x300 glazed wall tiles</v>
          </cell>
          <cell r="C70" t="str">
            <v>Nr</v>
          </cell>
          <cell r="D70">
            <v>80</v>
          </cell>
          <cell r="E70">
            <v>0.8</v>
          </cell>
          <cell r="F70">
            <v>81</v>
          </cell>
        </row>
        <row r="71">
          <cell r="A71">
            <v>1004</v>
          </cell>
          <cell r="B71" t="str">
            <v>300x400 glazed wall tiles</v>
          </cell>
          <cell r="C71" t="str">
            <v>Nr</v>
          </cell>
          <cell r="D71">
            <v>196</v>
          </cell>
          <cell r="E71">
            <v>1.96</v>
          </cell>
          <cell r="F71">
            <v>198</v>
          </cell>
        </row>
        <row r="72">
          <cell r="A72">
            <v>1005</v>
          </cell>
          <cell r="B72" t="str">
            <v>200x200 non skid floor tiles</v>
          </cell>
          <cell r="C72" t="str">
            <v>Nr</v>
          </cell>
          <cell r="D72">
            <v>49.5</v>
          </cell>
          <cell r="E72">
            <v>0.5</v>
          </cell>
          <cell r="F72">
            <v>50</v>
          </cell>
        </row>
        <row r="73">
          <cell r="A73">
            <v>1006</v>
          </cell>
          <cell r="B73" t="str">
            <v>300x300 non skid floor tiles</v>
          </cell>
          <cell r="C73" t="str">
            <v>Nr</v>
          </cell>
          <cell r="D73">
            <v>132.5</v>
          </cell>
          <cell r="E73">
            <v>1.33</v>
          </cell>
          <cell r="F73">
            <v>134</v>
          </cell>
        </row>
        <row r="74">
          <cell r="A74">
            <v>1007</v>
          </cell>
          <cell r="B74" t="str">
            <v>450x450 non skid floor tiles</v>
          </cell>
          <cell r="C74" t="str">
            <v>Nr</v>
          </cell>
          <cell r="D74">
            <v>294</v>
          </cell>
          <cell r="E74">
            <v>2.94</v>
          </cell>
          <cell r="F74">
            <v>297</v>
          </cell>
        </row>
        <row r="75">
          <cell r="A75">
            <v>1008</v>
          </cell>
          <cell r="B75" t="str">
            <v>200x200 non skid floor tiles - Homogeneous</v>
          </cell>
          <cell r="C75" t="str">
            <v>Nr</v>
          </cell>
          <cell r="D75">
            <v>74</v>
          </cell>
          <cell r="E75">
            <v>0.74</v>
          </cell>
          <cell r="F75">
            <v>75</v>
          </cell>
        </row>
        <row r="76">
          <cell r="A76">
            <v>1009</v>
          </cell>
          <cell r="B76" t="str">
            <v>300x300 non skid floor tiles - Homogeneous</v>
          </cell>
          <cell r="C76" t="str">
            <v>Nr</v>
          </cell>
          <cell r="D76">
            <v>145</v>
          </cell>
          <cell r="E76">
            <v>1.45</v>
          </cell>
          <cell r="F76">
            <v>146.5</v>
          </cell>
        </row>
        <row r="77">
          <cell r="A77">
            <v>1010</v>
          </cell>
          <cell r="B77" t="str">
            <v>400x400 non skid floor tiles - Homogeneous</v>
          </cell>
          <cell r="C77" t="str">
            <v>Nr</v>
          </cell>
          <cell r="D77">
            <v>280</v>
          </cell>
          <cell r="E77">
            <v>2.8</v>
          </cell>
          <cell r="F77">
            <v>283</v>
          </cell>
        </row>
        <row r="78">
          <cell r="A78">
            <v>1011</v>
          </cell>
          <cell r="B78" t="str">
            <v>PVC tile beading</v>
          </cell>
          <cell r="C78" t="str">
            <v>m</v>
          </cell>
          <cell r="D78">
            <v>35</v>
          </cell>
          <cell r="E78">
            <v>0.35</v>
          </cell>
          <cell r="F78">
            <v>35.5</v>
          </cell>
        </row>
        <row r="79">
          <cell r="A79">
            <v>1012</v>
          </cell>
          <cell r="B79" t="str">
            <v>Stainless steel tile beading</v>
          </cell>
          <cell r="C79" t="str">
            <v>m</v>
          </cell>
        </row>
        <row r="80">
          <cell r="A80">
            <v>1013</v>
          </cell>
          <cell r="B80" t="str">
            <v>non skid homogenous floor tiles quality 3</v>
          </cell>
          <cell r="C80" t="str">
            <v>m2</v>
          </cell>
          <cell r="D80">
            <v>1500</v>
          </cell>
          <cell r="E80">
            <v>15</v>
          </cell>
          <cell r="F80">
            <v>1515</v>
          </cell>
        </row>
        <row r="81">
          <cell r="A81">
            <v>1014</v>
          </cell>
          <cell r="B81" t="str">
            <v>non skid homogenous floor tiles quality 2</v>
          </cell>
          <cell r="C81" t="str">
            <v>m2</v>
          </cell>
          <cell r="D81">
            <v>1850</v>
          </cell>
          <cell r="E81">
            <v>18.5</v>
          </cell>
          <cell r="F81">
            <v>1868.5</v>
          </cell>
        </row>
        <row r="82">
          <cell r="A82">
            <v>1015</v>
          </cell>
          <cell r="B82" t="str">
            <v xml:space="preserve">non skid homogenous floor tiles quality 1 </v>
          </cell>
          <cell r="C82" t="str">
            <v>m2</v>
          </cell>
          <cell r="D82">
            <v>2425</v>
          </cell>
          <cell r="E82">
            <v>24.25</v>
          </cell>
          <cell r="F82">
            <v>2449.25</v>
          </cell>
        </row>
        <row r="83">
          <cell r="A83">
            <v>1016</v>
          </cell>
          <cell r="B83" t="str">
            <v>glazed wall tiles quality 1</v>
          </cell>
          <cell r="C83" t="str">
            <v>m2</v>
          </cell>
          <cell r="D83">
            <v>1500</v>
          </cell>
          <cell r="E83">
            <v>15</v>
          </cell>
          <cell r="F83">
            <v>1515</v>
          </cell>
        </row>
        <row r="84">
          <cell r="A84">
            <v>1017</v>
          </cell>
          <cell r="B84" t="str">
            <v xml:space="preserve">100mm high Timber Skirting </v>
          </cell>
          <cell r="C84" t="str">
            <v>m</v>
          </cell>
          <cell r="D84">
            <v>214</v>
          </cell>
          <cell r="E84">
            <v>2.14</v>
          </cell>
          <cell r="F84">
            <v>216.14</v>
          </cell>
        </row>
        <row r="86">
          <cell r="B86" t="str">
            <v>Roofer</v>
          </cell>
          <cell r="F86">
            <v>0</v>
          </cell>
        </row>
        <row r="87">
          <cell r="A87">
            <v>1101</v>
          </cell>
          <cell r="B87" t="str">
            <v>Special class timber</v>
          </cell>
          <cell r="C87" t="str">
            <v>m3</v>
          </cell>
          <cell r="D87">
            <v>75987</v>
          </cell>
          <cell r="E87">
            <v>759.87</v>
          </cell>
          <cell r="F87">
            <v>76747</v>
          </cell>
        </row>
        <row r="88">
          <cell r="A88">
            <v>1102</v>
          </cell>
          <cell r="B88" t="str">
            <v>50mmx25mm special class timber</v>
          </cell>
          <cell r="C88" t="str">
            <v>m</v>
          </cell>
          <cell r="D88">
            <v>65.599999999999994</v>
          </cell>
          <cell r="E88">
            <v>0.66</v>
          </cell>
          <cell r="F88">
            <v>66.5</v>
          </cell>
        </row>
        <row r="89">
          <cell r="A89">
            <v>1103</v>
          </cell>
          <cell r="B89" t="str">
            <v>50mmx50mm special class timber</v>
          </cell>
          <cell r="C89" t="str">
            <v>m</v>
          </cell>
          <cell r="D89">
            <v>136.19999999999999</v>
          </cell>
          <cell r="E89">
            <v>1.36</v>
          </cell>
          <cell r="F89">
            <v>137.5</v>
          </cell>
        </row>
        <row r="90">
          <cell r="A90">
            <v>1104</v>
          </cell>
          <cell r="B90" t="str">
            <v>100mmx50mm special class timber</v>
          </cell>
          <cell r="C90" t="str">
            <v>m</v>
          </cell>
          <cell r="D90">
            <v>385.5</v>
          </cell>
          <cell r="E90">
            <v>3.86</v>
          </cell>
          <cell r="F90">
            <v>389.5</v>
          </cell>
        </row>
        <row r="91">
          <cell r="A91">
            <v>1105</v>
          </cell>
          <cell r="B91" t="str">
            <v>100mmx75mm special class timber</v>
          </cell>
          <cell r="C91" t="str">
            <v>m</v>
          </cell>
          <cell r="D91">
            <v>587</v>
          </cell>
          <cell r="E91">
            <v>5.87</v>
          </cell>
          <cell r="F91">
            <v>593</v>
          </cell>
        </row>
        <row r="92">
          <cell r="A92">
            <v>1106</v>
          </cell>
          <cell r="B92" t="str">
            <v>125mmx50mm special class timber</v>
          </cell>
          <cell r="C92" t="str">
            <v>m</v>
          </cell>
          <cell r="D92">
            <v>487.8</v>
          </cell>
          <cell r="E92">
            <v>4.88</v>
          </cell>
          <cell r="F92">
            <v>492.5</v>
          </cell>
        </row>
        <row r="93">
          <cell r="A93">
            <v>1107</v>
          </cell>
          <cell r="B93" t="str">
            <v>125mmx75mm special class timber</v>
          </cell>
          <cell r="C93" t="str">
            <v>m</v>
          </cell>
          <cell r="D93">
            <v>742.9</v>
          </cell>
          <cell r="E93">
            <v>7.43</v>
          </cell>
          <cell r="F93">
            <v>750.5</v>
          </cell>
        </row>
        <row r="94">
          <cell r="A94">
            <v>1108</v>
          </cell>
          <cell r="B94" t="str">
            <v>150mmx50mm special class timber</v>
          </cell>
          <cell r="C94" t="str">
            <v>m</v>
          </cell>
          <cell r="D94">
            <v>589.70000000000005</v>
          </cell>
          <cell r="E94">
            <v>5.9</v>
          </cell>
          <cell r="F94">
            <v>595.5</v>
          </cell>
        </row>
        <row r="95">
          <cell r="A95">
            <v>1109</v>
          </cell>
          <cell r="B95" t="str">
            <v>150mmx75mm special class timber</v>
          </cell>
          <cell r="C95" t="str">
            <v>m</v>
          </cell>
          <cell r="D95">
            <v>901.5</v>
          </cell>
          <cell r="E95">
            <v>9.02</v>
          </cell>
          <cell r="F95">
            <v>910.5</v>
          </cell>
        </row>
        <row r="96">
          <cell r="A96">
            <v>1110</v>
          </cell>
          <cell r="B96" t="str">
            <v>Asbestos sheet</v>
          </cell>
          <cell r="C96" t="str">
            <v>m2</v>
          </cell>
          <cell r="D96">
            <v>440</v>
          </cell>
          <cell r="E96">
            <v>4.4000000000000004</v>
          </cell>
          <cell r="F96">
            <v>444.5</v>
          </cell>
        </row>
        <row r="97">
          <cell r="A97">
            <v>1111</v>
          </cell>
          <cell r="B97" t="str">
            <v>Roofing screws 112mm&amp; washer</v>
          </cell>
          <cell r="C97" t="str">
            <v>Nr</v>
          </cell>
          <cell r="D97">
            <v>20</v>
          </cell>
          <cell r="E97">
            <v>0.2</v>
          </cell>
          <cell r="F97">
            <v>20.5</v>
          </cell>
        </row>
        <row r="98">
          <cell r="A98">
            <v>1112</v>
          </cell>
          <cell r="B98" t="str">
            <v>Wood preservative</v>
          </cell>
          <cell r="C98" t="str">
            <v>l</v>
          </cell>
          <cell r="D98">
            <v>325</v>
          </cell>
          <cell r="E98">
            <v>3.25</v>
          </cell>
          <cell r="F98">
            <v>328.5</v>
          </cell>
        </row>
        <row r="99">
          <cell r="A99">
            <v>1113</v>
          </cell>
          <cell r="B99" t="str">
            <v>J bolt and nut</v>
          </cell>
          <cell r="C99" t="str">
            <v>Nr</v>
          </cell>
          <cell r="D99">
            <v>13</v>
          </cell>
          <cell r="E99">
            <v>0.13</v>
          </cell>
          <cell r="F99">
            <v>13.5</v>
          </cell>
        </row>
        <row r="100">
          <cell r="A100">
            <v>1114</v>
          </cell>
          <cell r="B100" t="str">
            <v xml:space="preserve">12mm bolt and nut </v>
          </cell>
          <cell r="C100" t="str">
            <v>Nr</v>
          </cell>
          <cell r="D100">
            <v>16</v>
          </cell>
          <cell r="E100">
            <v>0.16</v>
          </cell>
          <cell r="F100">
            <v>16.5</v>
          </cell>
        </row>
        <row r="101">
          <cell r="A101">
            <v>1115</v>
          </cell>
          <cell r="B101" t="str">
            <v>50x50x5.8mm angle irons</v>
          </cell>
          <cell r="C101" t="str">
            <v>m</v>
          </cell>
          <cell r="D101">
            <v>467</v>
          </cell>
          <cell r="E101">
            <v>4.67</v>
          </cell>
          <cell r="F101">
            <v>471.5</v>
          </cell>
        </row>
        <row r="102">
          <cell r="A102">
            <v>1116</v>
          </cell>
          <cell r="B102" t="str">
            <v>62.5x62.5x5.8mm angle irons</v>
          </cell>
          <cell r="C102" t="str">
            <v>m</v>
          </cell>
          <cell r="D102">
            <v>608</v>
          </cell>
          <cell r="E102">
            <v>6.08</v>
          </cell>
          <cell r="F102">
            <v>614</v>
          </cell>
        </row>
        <row r="103">
          <cell r="A103">
            <v>1117</v>
          </cell>
          <cell r="B103" t="str">
            <v>75x75x5.8mm angle irons</v>
          </cell>
          <cell r="C103" t="str">
            <v>m</v>
          </cell>
          <cell r="D103">
            <v>825</v>
          </cell>
          <cell r="E103">
            <v>8.25</v>
          </cell>
          <cell r="F103">
            <v>833.5</v>
          </cell>
        </row>
        <row r="104">
          <cell r="A104">
            <v>1118</v>
          </cell>
          <cell r="B104" t="str">
            <v>6'-0" asbestos sheets</v>
          </cell>
          <cell r="C104" t="str">
            <v>Nr</v>
          </cell>
          <cell r="D104">
            <v>820</v>
          </cell>
          <cell r="E104">
            <v>8.1999999999999993</v>
          </cell>
          <cell r="F104">
            <v>828</v>
          </cell>
        </row>
        <row r="105">
          <cell r="A105">
            <v>1119</v>
          </cell>
          <cell r="B105" t="str">
            <v>8'-0" asbestos sheets</v>
          </cell>
          <cell r="C105" t="str">
            <v>Nr</v>
          </cell>
          <cell r="D105">
            <v>1150</v>
          </cell>
          <cell r="E105">
            <v>11.5</v>
          </cell>
          <cell r="F105">
            <v>1161.5</v>
          </cell>
        </row>
        <row r="106">
          <cell r="A106">
            <v>1120</v>
          </cell>
          <cell r="B106" t="str">
            <v>10'-0" asbestos sheets</v>
          </cell>
          <cell r="C106" t="str">
            <v>Nr</v>
          </cell>
          <cell r="D106">
            <v>1360</v>
          </cell>
          <cell r="E106">
            <v>13.6</v>
          </cell>
          <cell r="F106">
            <v>1373.5</v>
          </cell>
        </row>
        <row r="107">
          <cell r="A107">
            <v>1121</v>
          </cell>
          <cell r="B107" t="str">
            <v>12'-0" asbestos sheets</v>
          </cell>
          <cell r="C107" t="str">
            <v>Nr</v>
          </cell>
          <cell r="D107">
            <v>1730</v>
          </cell>
          <cell r="E107">
            <v>17.3</v>
          </cell>
          <cell r="F107">
            <v>1747.5</v>
          </cell>
        </row>
        <row r="108">
          <cell r="A108">
            <v>1122</v>
          </cell>
          <cell r="B108" t="str">
            <v>100x50x2mm "C" channels</v>
          </cell>
          <cell r="C108" t="str">
            <v>m</v>
          </cell>
          <cell r="D108">
            <v>355</v>
          </cell>
          <cell r="E108">
            <v>3.55</v>
          </cell>
          <cell r="F108">
            <v>358.5</v>
          </cell>
        </row>
        <row r="109">
          <cell r="A109">
            <v>1123</v>
          </cell>
          <cell r="B109" t="str">
            <v>0.47mm tk. Zn-alum sheets</v>
          </cell>
          <cell r="C109" t="str">
            <v>m2</v>
          </cell>
          <cell r="D109">
            <v>1078</v>
          </cell>
          <cell r="E109">
            <v>10.78</v>
          </cell>
          <cell r="F109">
            <v>1089</v>
          </cell>
        </row>
        <row r="110">
          <cell r="A110">
            <v>1124</v>
          </cell>
          <cell r="B110" t="str">
            <v>Fasteners</v>
          </cell>
          <cell r="C110" t="str">
            <v>Nr</v>
          </cell>
          <cell r="D110">
            <v>9</v>
          </cell>
          <cell r="E110">
            <v>0.09</v>
          </cell>
          <cell r="F110">
            <v>9</v>
          </cell>
        </row>
        <row r="111">
          <cell r="A111">
            <v>1125</v>
          </cell>
          <cell r="B111" t="str">
            <v>Roof tiles</v>
          </cell>
          <cell r="C111" t="str">
            <v>Nr</v>
          </cell>
          <cell r="D111">
            <v>35</v>
          </cell>
          <cell r="E111">
            <v>0.35</v>
          </cell>
          <cell r="F111">
            <v>35.5</v>
          </cell>
        </row>
        <row r="112">
          <cell r="A112">
            <v>1126</v>
          </cell>
          <cell r="B112" t="str">
            <v>Ridge tiles</v>
          </cell>
          <cell r="C112" t="str">
            <v>Nr</v>
          </cell>
          <cell r="D112">
            <v>45</v>
          </cell>
          <cell r="E112">
            <v>0.45</v>
          </cell>
          <cell r="F112">
            <v>45.5</v>
          </cell>
        </row>
        <row r="113">
          <cell r="A113">
            <v>1127</v>
          </cell>
          <cell r="B113" t="str">
            <v>5mm gusset plate</v>
          </cell>
          <cell r="C113" t="str">
            <v>m2</v>
          </cell>
          <cell r="D113">
            <v>4485</v>
          </cell>
          <cell r="E113">
            <v>44.85</v>
          </cell>
          <cell r="F113">
            <v>4530</v>
          </cell>
        </row>
        <row r="114">
          <cell r="A114">
            <v>1128</v>
          </cell>
          <cell r="B114" t="str">
            <v>Zink Alluminium ridge capping  of girth 470mm</v>
          </cell>
          <cell r="C114" t="str">
            <v>m</v>
          </cell>
          <cell r="D114">
            <v>591</v>
          </cell>
          <cell r="E114">
            <v>5.91</v>
          </cell>
          <cell r="F114">
            <v>597</v>
          </cell>
        </row>
        <row r="115">
          <cell r="A115">
            <v>1129</v>
          </cell>
          <cell r="B115" t="str">
            <v>Asbestos ridges</v>
          </cell>
          <cell r="C115" t="str">
            <v>Set</v>
          </cell>
          <cell r="D115">
            <v>600</v>
          </cell>
          <cell r="E115">
            <v>6</v>
          </cell>
          <cell r="F115">
            <v>606</v>
          </cell>
        </row>
        <row r="116">
          <cell r="A116">
            <v>1130</v>
          </cell>
          <cell r="B116" t="str">
            <v>Lime</v>
          </cell>
          <cell r="C116" t="str">
            <v>kg</v>
          </cell>
          <cell r="D116">
            <v>20</v>
          </cell>
          <cell r="E116">
            <v>0.2</v>
          </cell>
          <cell r="F116">
            <v>20.5</v>
          </cell>
        </row>
        <row r="117">
          <cell r="A117">
            <v>1131</v>
          </cell>
          <cell r="B117" t="str">
            <v>Aluminium foil as heat insulation</v>
          </cell>
          <cell r="C117" t="str">
            <v>m2</v>
          </cell>
          <cell r="D117">
            <v>133</v>
          </cell>
          <cell r="E117">
            <v>1.33</v>
          </cell>
          <cell r="F117">
            <v>134.5</v>
          </cell>
        </row>
        <row r="118">
          <cell r="A118">
            <v>1132</v>
          </cell>
          <cell r="B118" t="str">
            <v>Mesh for foil ( 2"x2")</v>
          </cell>
          <cell r="C118" t="str">
            <v>m2</v>
          </cell>
          <cell r="D118">
            <v>454.9</v>
          </cell>
          <cell r="E118">
            <v>4.55</v>
          </cell>
          <cell r="F118">
            <v>459.5</v>
          </cell>
        </row>
        <row r="119">
          <cell r="A119">
            <v>1133</v>
          </cell>
          <cell r="B119" t="str">
            <v>10mm gusset plate</v>
          </cell>
          <cell r="C119" t="str">
            <v>m2</v>
          </cell>
          <cell r="D119">
            <v>8970</v>
          </cell>
          <cell r="E119">
            <v>89.7</v>
          </cell>
          <cell r="F119">
            <v>9059.5</v>
          </cell>
        </row>
        <row r="120">
          <cell r="A120">
            <v>1134</v>
          </cell>
          <cell r="B120" t="str">
            <v>Truss plate, base plate</v>
          </cell>
          <cell r="C120" t="str">
            <v>m2</v>
          </cell>
          <cell r="D120">
            <v>4300</v>
          </cell>
          <cell r="E120">
            <v>43</v>
          </cell>
          <cell r="F120">
            <v>4343</v>
          </cell>
        </row>
        <row r="121">
          <cell r="B121" t="str">
            <v>Carpenter and Joiner</v>
          </cell>
        </row>
        <row r="122">
          <cell r="A122">
            <v>1201</v>
          </cell>
          <cell r="B122" t="str">
            <v>31mm planks special class</v>
          </cell>
          <cell r="C122" t="str">
            <v>m2</v>
          </cell>
          <cell r="D122">
            <v>1841</v>
          </cell>
          <cell r="E122">
            <v>18.41</v>
          </cell>
          <cell r="F122">
            <v>1859.5</v>
          </cell>
        </row>
        <row r="123">
          <cell r="A123">
            <v>1202</v>
          </cell>
          <cell r="B123" t="str">
            <v>25mm planks special class</v>
          </cell>
          <cell r="C123" t="str">
            <v>m2</v>
          </cell>
          <cell r="D123">
            <v>1476.66</v>
          </cell>
          <cell r="E123">
            <v>14.77</v>
          </cell>
          <cell r="F123">
            <v>1491.5</v>
          </cell>
        </row>
        <row r="124">
          <cell r="A124">
            <v>1203</v>
          </cell>
          <cell r="B124" t="str">
            <v>20mm planks special class</v>
          </cell>
          <cell r="C124" t="str">
            <v>m2</v>
          </cell>
          <cell r="D124">
            <v>1181.32</v>
          </cell>
          <cell r="E124">
            <v>11.81</v>
          </cell>
          <cell r="F124">
            <v>1193</v>
          </cell>
        </row>
        <row r="125">
          <cell r="A125">
            <v>1204</v>
          </cell>
          <cell r="B125" t="str">
            <v>20mm thick lunumidella timber</v>
          </cell>
          <cell r="C125" t="str">
            <v>m2</v>
          </cell>
          <cell r="D125">
            <v>700</v>
          </cell>
          <cell r="E125">
            <v>7</v>
          </cell>
          <cell r="F125">
            <v>707</v>
          </cell>
        </row>
        <row r="126">
          <cell r="A126">
            <v>1205</v>
          </cell>
          <cell r="B126" t="str">
            <v>50mm iron screws</v>
          </cell>
          <cell r="C126" t="str">
            <v>Nr</v>
          </cell>
          <cell r="D126">
            <v>2</v>
          </cell>
          <cell r="E126">
            <v>0.02</v>
          </cell>
          <cell r="F126">
            <v>2</v>
          </cell>
        </row>
        <row r="127">
          <cell r="A127">
            <v>1206</v>
          </cell>
          <cell r="B127" t="str">
            <v>G.I. clout nails 20mm</v>
          </cell>
          <cell r="C127" t="str">
            <v>kg</v>
          </cell>
          <cell r="D127">
            <v>300</v>
          </cell>
          <cell r="E127">
            <v>3</v>
          </cell>
          <cell r="F127">
            <v>303</v>
          </cell>
        </row>
        <row r="128">
          <cell r="A128">
            <v>1207</v>
          </cell>
          <cell r="B128" t="str">
            <v>Ceiling sheets</v>
          </cell>
          <cell r="C128" t="str">
            <v>m2</v>
          </cell>
          <cell r="D128">
            <v>263</v>
          </cell>
          <cell r="E128">
            <v>2.63</v>
          </cell>
          <cell r="F128">
            <v>265.5</v>
          </cell>
        </row>
        <row r="129">
          <cell r="A129">
            <v>1208</v>
          </cell>
          <cell r="B129" t="str">
            <v>Beadings</v>
          </cell>
          <cell r="C129" t="str">
            <v>m</v>
          </cell>
          <cell r="D129">
            <v>49</v>
          </cell>
          <cell r="E129">
            <v>0.49</v>
          </cell>
          <cell r="F129">
            <v>49.5</v>
          </cell>
        </row>
        <row r="130">
          <cell r="A130">
            <v>1209</v>
          </cell>
          <cell r="B130" t="str">
            <v>Moldings</v>
          </cell>
          <cell r="C130" t="str">
            <v>m</v>
          </cell>
          <cell r="D130">
            <v>117</v>
          </cell>
          <cell r="E130">
            <v>1.17</v>
          </cell>
          <cell r="F130">
            <v>118.17</v>
          </cell>
        </row>
        <row r="131">
          <cell r="A131">
            <v>1210</v>
          </cell>
          <cell r="B131" t="str">
            <v>Screws 38mm</v>
          </cell>
          <cell r="C131" t="str">
            <v>Nr</v>
          </cell>
          <cell r="D131">
            <v>1.5</v>
          </cell>
          <cell r="E131">
            <v>0.02</v>
          </cell>
          <cell r="F131">
            <v>1.5</v>
          </cell>
        </row>
        <row r="132">
          <cell r="A132">
            <v>1211</v>
          </cell>
          <cell r="B132" t="str">
            <v>Wooden plugs</v>
          </cell>
          <cell r="C132" t="str">
            <v>Nr</v>
          </cell>
          <cell r="D132">
            <v>5</v>
          </cell>
          <cell r="E132">
            <v>0.05</v>
          </cell>
          <cell r="F132">
            <v>5</v>
          </cell>
        </row>
        <row r="133">
          <cell r="A133">
            <v>1212</v>
          </cell>
          <cell r="B133" t="str">
            <v>Primer</v>
          </cell>
          <cell r="C133" t="str">
            <v>l</v>
          </cell>
          <cell r="D133">
            <v>320</v>
          </cell>
          <cell r="E133">
            <v>3.2</v>
          </cell>
          <cell r="F133">
            <v>323</v>
          </cell>
        </row>
        <row r="134">
          <cell r="A134">
            <v>1213</v>
          </cell>
          <cell r="B134" t="str">
            <v>Emulsion paint</v>
          </cell>
          <cell r="C134" t="str">
            <v>l</v>
          </cell>
          <cell r="D134">
            <v>648</v>
          </cell>
          <cell r="E134">
            <v>6.48</v>
          </cell>
          <cell r="F134">
            <v>654.5</v>
          </cell>
        </row>
        <row r="135">
          <cell r="A135">
            <v>1214</v>
          </cell>
          <cell r="B135" t="str">
            <v>100x75 door/ window frame</v>
          </cell>
          <cell r="C135" t="str">
            <v>m3</v>
          </cell>
          <cell r="D135">
            <v>75987</v>
          </cell>
          <cell r="E135">
            <v>759.87</v>
          </cell>
          <cell r="F135">
            <v>76747</v>
          </cell>
        </row>
        <row r="136">
          <cell r="A136">
            <v>1215</v>
          </cell>
          <cell r="B136" t="str">
            <v>38mm brass screws</v>
          </cell>
          <cell r="C136" t="str">
            <v>Nr</v>
          </cell>
          <cell r="D136">
            <v>5.5</v>
          </cell>
          <cell r="E136">
            <v>0.06</v>
          </cell>
          <cell r="F136">
            <v>5.5</v>
          </cell>
        </row>
        <row r="137">
          <cell r="A137">
            <v>1216</v>
          </cell>
          <cell r="B137" t="str">
            <v>25mm brass screws</v>
          </cell>
          <cell r="C137" t="str">
            <v>Nr</v>
          </cell>
          <cell r="D137">
            <v>3.5</v>
          </cell>
          <cell r="E137">
            <v>0.04</v>
          </cell>
          <cell r="F137">
            <v>3.5</v>
          </cell>
        </row>
        <row r="138">
          <cell r="A138">
            <v>1217</v>
          </cell>
          <cell r="B138" t="str">
            <v>Rawl plugs and screws</v>
          </cell>
          <cell r="C138" t="str">
            <v>Nr</v>
          </cell>
          <cell r="D138">
            <v>2</v>
          </cell>
          <cell r="E138">
            <v>0.02</v>
          </cell>
          <cell r="F138">
            <v>2</v>
          </cell>
        </row>
        <row r="139">
          <cell r="A139">
            <v>1218</v>
          </cell>
          <cell r="B139" t="str">
            <v>100mm brass hinges</v>
          </cell>
          <cell r="C139" t="str">
            <v>pair</v>
          </cell>
          <cell r="D139">
            <v>375</v>
          </cell>
          <cell r="E139">
            <v>3.75</v>
          </cell>
          <cell r="F139">
            <v>379</v>
          </cell>
        </row>
        <row r="140">
          <cell r="A140">
            <v>1219</v>
          </cell>
          <cell r="B140" t="str">
            <v>12x12mm fillets</v>
          </cell>
          <cell r="C140" t="str">
            <v>m</v>
          </cell>
          <cell r="D140">
            <v>5.5</v>
          </cell>
          <cell r="E140">
            <v>0.06</v>
          </cell>
          <cell r="F140">
            <v>5.5</v>
          </cell>
        </row>
        <row r="141">
          <cell r="A141">
            <v>1220</v>
          </cell>
          <cell r="B141" t="str">
            <v>300mm skeleton bolts</v>
          </cell>
          <cell r="C141" t="str">
            <v>Nr</v>
          </cell>
          <cell r="D141">
            <v>78</v>
          </cell>
          <cell r="E141">
            <v>0.78</v>
          </cell>
          <cell r="F141">
            <v>79</v>
          </cell>
        </row>
        <row r="142">
          <cell r="A142">
            <v>1221</v>
          </cell>
          <cell r="B142" t="str">
            <v>38x38mm sash bars</v>
          </cell>
          <cell r="C142" t="str">
            <v>m</v>
          </cell>
          <cell r="D142">
            <v>16</v>
          </cell>
          <cell r="E142">
            <v>0.16</v>
          </cell>
          <cell r="F142">
            <v>16.5</v>
          </cell>
        </row>
        <row r="143">
          <cell r="A143">
            <v>1222</v>
          </cell>
          <cell r="B143" t="str">
            <v>150mm barrel bolts</v>
          </cell>
          <cell r="C143" t="str">
            <v>Nr</v>
          </cell>
          <cell r="D143">
            <v>156</v>
          </cell>
          <cell r="E143">
            <v>1.56</v>
          </cell>
          <cell r="F143">
            <v>157.5</v>
          </cell>
        </row>
        <row r="144">
          <cell r="A144">
            <v>1223</v>
          </cell>
          <cell r="B144" t="str">
            <v>Plywood door sash</v>
          </cell>
          <cell r="C144" t="str">
            <v>Nr</v>
          </cell>
          <cell r="D144">
            <v>2200</v>
          </cell>
          <cell r="E144">
            <v>22</v>
          </cell>
          <cell r="F144">
            <v>2222</v>
          </cell>
        </row>
        <row r="145">
          <cell r="A145">
            <v>1224</v>
          </cell>
          <cell r="B145" t="str">
            <v>Holdfasts</v>
          </cell>
          <cell r="C145" t="str">
            <v>Nr</v>
          </cell>
          <cell r="D145">
            <v>75</v>
          </cell>
          <cell r="E145">
            <v>0.75</v>
          </cell>
          <cell r="F145">
            <v>76</v>
          </cell>
        </row>
        <row r="146">
          <cell r="A146">
            <v>1225</v>
          </cell>
          <cell r="B146" t="str">
            <v>PVC door with frame</v>
          </cell>
          <cell r="C146" t="str">
            <v>Nr</v>
          </cell>
          <cell r="D146">
            <v>4650</v>
          </cell>
          <cell r="E146">
            <v>46.5</v>
          </cell>
          <cell r="F146">
            <v>4696.5</v>
          </cell>
        </row>
        <row r="147">
          <cell r="A147">
            <v>1226</v>
          </cell>
          <cell r="B147" t="str">
            <v>3mm glass plain</v>
          </cell>
          <cell r="C147" t="str">
            <v>m2</v>
          </cell>
          <cell r="D147">
            <v>645</v>
          </cell>
          <cell r="E147">
            <v>6.45</v>
          </cell>
          <cell r="F147">
            <v>651.5</v>
          </cell>
        </row>
        <row r="148">
          <cell r="A148">
            <v>1227</v>
          </cell>
          <cell r="B148" t="str">
            <v>Casement stays</v>
          </cell>
          <cell r="C148" t="str">
            <v>Nr</v>
          </cell>
          <cell r="D148">
            <v>200</v>
          </cell>
          <cell r="E148">
            <v>2</v>
          </cell>
          <cell r="F148">
            <v>202</v>
          </cell>
        </row>
        <row r="149">
          <cell r="A149">
            <v>1228</v>
          </cell>
          <cell r="B149" t="str">
            <v>Casement fasteners</v>
          </cell>
          <cell r="C149" t="str">
            <v>Nr</v>
          </cell>
          <cell r="D149">
            <v>200</v>
          </cell>
          <cell r="E149">
            <v>2</v>
          </cell>
          <cell r="F149">
            <v>202</v>
          </cell>
        </row>
        <row r="150">
          <cell r="A150">
            <v>1229</v>
          </cell>
          <cell r="B150" t="str">
            <v>Class 11 Ginisapu planks 25mm thick</v>
          </cell>
          <cell r="C150" t="str">
            <v>m2</v>
          </cell>
          <cell r="D150">
            <v>1385</v>
          </cell>
          <cell r="E150">
            <v>13.85</v>
          </cell>
          <cell r="F150">
            <v>1399</v>
          </cell>
        </row>
        <row r="151">
          <cell r="A151">
            <v>1230</v>
          </cell>
          <cell r="B151" t="str">
            <v>Brass screw</v>
          </cell>
          <cell r="C151" t="str">
            <v>Nr</v>
          </cell>
          <cell r="D151">
            <v>5.5</v>
          </cell>
          <cell r="E151">
            <v>0.06</v>
          </cell>
          <cell r="F151">
            <v>5.5</v>
          </cell>
        </row>
        <row r="152">
          <cell r="A152">
            <v>1231</v>
          </cell>
          <cell r="B152" t="str">
            <v>Lunumidella timber</v>
          </cell>
          <cell r="C152" t="str">
            <v>m2</v>
          </cell>
          <cell r="D152">
            <v>700</v>
          </cell>
          <cell r="E152">
            <v>7</v>
          </cell>
          <cell r="F152">
            <v>707</v>
          </cell>
        </row>
        <row r="153">
          <cell r="A153">
            <v>1232</v>
          </cell>
          <cell r="B153" t="str">
            <v>12 mm thick flywood sheet</v>
          </cell>
          <cell r="C153" t="str">
            <v>m2</v>
          </cell>
          <cell r="D153">
            <v>875</v>
          </cell>
          <cell r="E153">
            <v>8.75</v>
          </cell>
          <cell r="F153">
            <v>884</v>
          </cell>
        </row>
        <row r="154">
          <cell r="A154">
            <v>1233</v>
          </cell>
          <cell r="B154" t="str">
            <v>G.I. clout nails 38mm</v>
          </cell>
          <cell r="C154" t="str">
            <v>Kg</v>
          </cell>
          <cell r="D154">
            <v>336</v>
          </cell>
          <cell r="E154">
            <v>3.36</v>
          </cell>
          <cell r="F154">
            <v>339.5</v>
          </cell>
        </row>
        <row r="155">
          <cell r="A155">
            <v>1234</v>
          </cell>
          <cell r="B155" t="str">
            <v>31mm planks class 1</v>
          </cell>
          <cell r="C155" t="str">
            <v>m2</v>
          </cell>
          <cell r="D155">
            <v>1440</v>
          </cell>
          <cell r="E155">
            <v>14.4</v>
          </cell>
          <cell r="F155">
            <v>1454.5</v>
          </cell>
        </row>
        <row r="156">
          <cell r="B156" t="str">
            <v>Brass Founder</v>
          </cell>
        </row>
        <row r="157">
          <cell r="A157">
            <v>1301</v>
          </cell>
          <cell r="B157" t="str">
            <v>Night latch lock</v>
          </cell>
          <cell r="C157" t="str">
            <v>Nr</v>
          </cell>
          <cell r="D157">
            <v>600</v>
          </cell>
          <cell r="E157">
            <v>6</v>
          </cell>
          <cell r="F157">
            <v>606</v>
          </cell>
        </row>
        <row r="158">
          <cell r="A158">
            <v>1302</v>
          </cell>
          <cell r="B158" t="str">
            <v>Mortise Union (English) single lock</v>
          </cell>
          <cell r="C158" t="str">
            <v>Nr</v>
          </cell>
          <cell r="E158">
            <v>0</v>
          </cell>
          <cell r="F158">
            <v>0</v>
          </cell>
        </row>
        <row r="159">
          <cell r="A159">
            <v>1303</v>
          </cell>
          <cell r="B159" t="str">
            <v>Mortise Union (English) double lock</v>
          </cell>
          <cell r="C159" t="str">
            <v>Nr</v>
          </cell>
          <cell r="E159">
            <v>0</v>
          </cell>
          <cell r="F159">
            <v>0</v>
          </cell>
        </row>
        <row r="160">
          <cell r="A160">
            <v>1304</v>
          </cell>
          <cell r="B160" t="str">
            <v>Robin ITALY made brass lock</v>
          </cell>
          <cell r="C160" t="str">
            <v>Nr</v>
          </cell>
          <cell r="E160">
            <v>0</v>
          </cell>
          <cell r="F160">
            <v>0</v>
          </cell>
        </row>
        <row r="161">
          <cell r="A161">
            <v>1305</v>
          </cell>
          <cell r="B161" t="str">
            <v>Fuda lock</v>
          </cell>
          <cell r="C161" t="str">
            <v>Nr</v>
          </cell>
          <cell r="E161">
            <v>0</v>
          </cell>
          <cell r="F161">
            <v>0</v>
          </cell>
        </row>
        <row r="162">
          <cell r="A162">
            <v>1306</v>
          </cell>
          <cell r="B162" t="str">
            <v>50mm barrel bolt (Brass)</v>
          </cell>
          <cell r="C162" t="str">
            <v>Nr</v>
          </cell>
          <cell r="D162">
            <v>65</v>
          </cell>
          <cell r="E162">
            <v>0.65</v>
          </cell>
          <cell r="F162">
            <v>65.650000000000006</v>
          </cell>
        </row>
        <row r="163">
          <cell r="A163">
            <v>1307</v>
          </cell>
          <cell r="B163" t="str">
            <v>100x100mm butt hinges</v>
          </cell>
          <cell r="C163" t="str">
            <v>Nr</v>
          </cell>
          <cell r="D163">
            <v>300</v>
          </cell>
          <cell r="E163">
            <v>3</v>
          </cell>
          <cell r="F163">
            <v>303</v>
          </cell>
        </row>
        <row r="164">
          <cell r="A164">
            <v>1308</v>
          </cell>
          <cell r="B164" t="str">
            <v>150x100mm butt hinges</v>
          </cell>
          <cell r="C164" t="str">
            <v>Nr</v>
          </cell>
          <cell r="D164">
            <v>475</v>
          </cell>
          <cell r="E164">
            <v>4.75</v>
          </cell>
          <cell r="F164">
            <v>479.75</v>
          </cell>
        </row>
        <row r="165">
          <cell r="A165">
            <v>1309</v>
          </cell>
          <cell r="B165" t="str">
            <v>100mm barrel bolt (Brass)</v>
          </cell>
          <cell r="C165" t="str">
            <v>Nr</v>
          </cell>
          <cell r="D165">
            <v>150</v>
          </cell>
          <cell r="E165">
            <v>1.5</v>
          </cell>
          <cell r="F165">
            <v>151.5</v>
          </cell>
        </row>
        <row r="166">
          <cell r="A166">
            <v>1310</v>
          </cell>
          <cell r="B166" t="str">
            <v>150mm barrel bolt (Brass)</v>
          </cell>
          <cell r="C166" t="str">
            <v>Nr</v>
          </cell>
          <cell r="D166">
            <v>350</v>
          </cell>
          <cell r="E166">
            <v>3.5</v>
          </cell>
          <cell r="F166">
            <v>353.5</v>
          </cell>
        </row>
        <row r="167">
          <cell r="B167" t="str">
            <v>Iron Monger</v>
          </cell>
          <cell r="F167">
            <v>0</v>
          </cell>
        </row>
        <row r="168">
          <cell r="A168">
            <v>1401</v>
          </cell>
          <cell r="B168" t="str">
            <v>50x50 G.I. welded mesh</v>
          </cell>
          <cell r="C168" t="str">
            <v>m2</v>
          </cell>
          <cell r="D168">
            <v>454</v>
          </cell>
          <cell r="E168">
            <v>4.54</v>
          </cell>
          <cell r="F168">
            <v>458.5</v>
          </cell>
        </row>
        <row r="169">
          <cell r="A169">
            <v>1402</v>
          </cell>
          <cell r="B169" t="str">
            <v>50x12mm beadings</v>
          </cell>
          <cell r="C169" t="str">
            <v>m</v>
          </cell>
          <cell r="D169">
            <v>50</v>
          </cell>
          <cell r="E169">
            <v>0.5</v>
          </cell>
          <cell r="F169">
            <v>50.5</v>
          </cell>
        </row>
        <row r="170">
          <cell r="A170">
            <v>1403</v>
          </cell>
          <cell r="B170" t="str">
            <v>5.5mm MS rods</v>
          </cell>
          <cell r="C170" t="str">
            <v>kg</v>
          </cell>
          <cell r="D170">
            <v>100</v>
          </cell>
          <cell r="E170">
            <v>1</v>
          </cell>
          <cell r="F170">
            <v>101</v>
          </cell>
        </row>
        <row r="171">
          <cell r="A171">
            <v>1404</v>
          </cell>
          <cell r="B171" t="str">
            <v>12x5mm flat iron</v>
          </cell>
          <cell r="C171" t="str">
            <v>m</v>
          </cell>
          <cell r="D171">
            <v>27</v>
          </cell>
          <cell r="E171">
            <v>0.27</v>
          </cell>
          <cell r="F171">
            <v>27.5</v>
          </cell>
        </row>
        <row r="172">
          <cell r="A172">
            <v>1405</v>
          </cell>
          <cell r="B172" t="str">
            <v>25x25x4mm angle iron</v>
          </cell>
          <cell r="C172" t="str">
            <v>m</v>
          </cell>
          <cell r="D172">
            <v>146</v>
          </cell>
          <cell r="E172">
            <v>1.46</v>
          </cell>
          <cell r="F172">
            <v>147.5</v>
          </cell>
        </row>
        <row r="173">
          <cell r="A173">
            <v>1406</v>
          </cell>
          <cell r="B173" t="str">
            <v>100mm safety type Hasp and Staple</v>
          </cell>
          <cell r="C173" t="str">
            <v>Nr</v>
          </cell>
          <cell r="D173">
            <v>150</v>
          </cell>
          <cell r="E173">
            <v>1.5</v>
          </cell>
          <cell r="F173">
            <v>151.5</v>
          </cell>
        </row>
        <row r="174">
          <cell r="A174">
            <v>1407</v>
          </cell>
          <cell r="B174" t="str">
            <v>150mm safety type Hasp and Staple</v>
          </cell>
          <cell r="C174" t="str">
            <v>Nr</v>
          </cell>
          <cell r="D174">
            <v>175</v>
          </cell>
          <cell r="E174">
            <v>1.75</v>
          </cell>
          <cell r="F174">
            <v>177</v>
          </cell>
        </row>
        <row r="175">
          <cell r="A175">
            <v>1408</v>
          </cell>
          <cell r="B175" t="str">
            <v>100x100mm butt hinges</v>
          </cell>
          <cell r="C175" t="str">
            <v>Nr</v>
          </cell>
          <cell r="D175">
            <v>300</v>
          </cell>
          <cell r="E175">
            <v>3</v>
          </cell>
          <cell r="F175">
            <v>303</v>
          </cell>
        </row>
        <row r="176">
          <cell r="A176">
            <v>1409</v>
          </cell>
          <cell r="B176" t="str">
            <v>150x100mm butt hinges</v>
          </cell>
          <cell r="C176" t="str">
            <v>Nr</v>
          </cell>
          <cell r="D176">
            <v>475</v>
          </cell>
          <cell r="E176">
            <v>4.75</v>
          </cell>
          <cell r="F176">
            <v>480</v>
          </cell>
        </row>
        <row r="177">
          <cell r="A177">
            <v>1410</v>
          </cell>
          <cell r="B177" t="str">
            <v>37x37x5.8 mm angle iron</v>
          </cell>
          <cell r="C177" t="str">
            <v>m</v>
          </cell>
          <cell r="D177">
            <v>368</v>
          </cell>
          <cell r="E177">
            <v>3.68</v>
          </cell>
          <cell r="F177">
            <v>371.5</v>
          </cell>
        </row>
        <row r="178">
          <cell r="A178">
            <v>1411</v>
          </cell>
          <cell r="B178" t="str">
            <v>25x25x5 mm angle iron</v>
          </cell>
          <cell r="C178" t="str">
            <v>m</v>
          </cell>
          <cell r="D178">
            <v>187</v>
          </cell>
          <cell r="E178">
            <v>1.87</v>
          </cell>
          <cell r="F178">
            <v>189</v>
          </cell>
        </row>
        <row r="179">
          <cell r="A179">
            <v>1412</v>
          </cell>
          <cell r="B179" t="str">
            <v>25x5mm flat iron</v>
          </cell>
          <cell r="C179" t="str">
            <v>m</v>
          </cell>
          <cell r="D179">
            <v>103</v>
          </cell>
          <cell r="E179">
            <v>1.03</v>
          </cell>
          <cell r="F179">
            <v>104</v>
          </cell>
        </row>
        <row r="180">
          <cell r="A180">
            <v>1413</v>
          </cell>
          <cell r="B180" t="str">
            <v>6mm mild steel hook</v>
          </cell>
          <cell r="C180" t="str">
            <v>Nr</v>
          </cell>
          <cell r="D180">
            <v>50</v>
          </cell>
          <cell r="E180">
            <v>0.5</v>
          </cell>
          <cell r="F180">
            <v>50.5</v>
          </cell>
        </row>
        <row r="181">
          <cell r="B181" t="str">
            <v>Aluminium Extrusions (Natural Anodized)</v>
          </cell>
        </row>
        <row r="182">
          <cell r="A182">
            <v>1501</v>
          </cell>
          <cell r="B182" t="str">
            <v>70S-1101-1 (NA)</v>
          </cell>
          <cell r="C182" t="str">
            <v>m</v>
          </cell>
          <cell r="D182">
            <v>450.61</v>
          </cell>
          <cell r="E182">
            <v>4.51</v>
          </cell>
          <cell r="F182">
            <v>455</v>
          </cell>
        </row>
        <row r="183">
          <cell r="A183">
            <v>1502</v>
          </cell>
          <cell r="B183" t="str">
            <v>70S-1001-1 (NA)</v>
          </cell>
          <cell r="C183" t="str">
            <v>m</v>
          </cell>
          <cell r="D183">
            <v>461.07</v>
          </cell>
          <cell r="E183">
            <v>4.6100000000000003</v>
          </cell>
          <cell r="F183">
            <v>465.5</v>
          </cell>
        </row>
        <row r="184">
          <cell r="A184">
            <v>1503</v>
          </cell>
          <cell r="B184" t="str">
            <v>70S-1201-1 (NA)</v>
          </cell>
          <cell r="C184" t="str">
            <v>m</v>
          </cell>
          <cell r="D184">
            <v>375.07</v>
          </cell>
          <cell r="E184">
            <v>3.75</v>
          </cell>
          <cell r="F184">
            <v>378</v>
          </cell>
        </row>
        <row r="185">
          <cell r="A185">
            <v>1504</v>
          </cell>
          <cell r="B185" t="str">
            <v>70S-1604 (NA)</v>
          </cell>
          <cell r="C185" t="str">
            <v>m</v>
          </cell>
          <cell r="D185">
            <v>367.07</v>
          </cell>
          <cell r="E185">
            <v>3.67</v>
          </cell>
          <cell r="F185">
            <v>371</v>
          </cell>
        </row>
        <row r="186">
          <cell r="A186">
            <v>1505</v>
          </cell>
          <cell r="B186" t="str">
            <v>70S-1704 (NA)</v>
          </cell>
          <cell r="C186" t="str">
            <v>m</v>
          </cell>
          <cell r="D186">
            <v>346.61</v>
          </cell>
          <cell r="E186">
            <v>3.47</v>
          </cell>
          <cell r="F186">
            <v>350</v>
          </cell>
        </row>
        <row r="187">
          <cell r="A187">
            <v>1506</v>
          </cell>
          <cell r="B187" t="str">
            <v>70S-1503A (NA)</v>
          </cell>
          <cell r="C187" t="str">
            <v>m</v>
          </cell>
          <cell r="D187">
            <v>433.38</v>
          </cell>
          <cell r="E187">
            <v>4.33</v>
          </cell>
          <cell r="F187">
            <v>438</v>
          </cell>
        </row>
        <row r="188">
          <cell r="A188">
            <v>1507</v>
          </cell>
          <cell r="B188" t="str">
            <v>70S-1401-1 (NA)</v>
          </cell>
          <cell r="C188" t="str">
            <v>m</v>
          </cell>
          <cell r="D188">
            <v>306.76</v>
          </cell>
          <cell r="E188">
            <v>3.07</v>
          </cell>
          <cell r="F188">
            <v>310</v>
          </cell>
        </row>
        <row r="189">
          <cell r="A189">
            <v>1508</v>
          </cell>
          <cell r="B189" t="str">
            <v>70SF-1006 (NA)</v>
          </cell>
          <cell r="C189" t="str">
            <v>m</v>
          </cell>
          <cell r="D189">
            <v>727.23</v>
          </cell>
          <cell r="E189">
            <v>7.27</v>
          </cell>
          <cell r="F189">
            <v>734.5</v>
          </cell>
        </row>
        <row r="190">
          <cell r="A190">
            <v>1509</v>
          </cell>
          <cell r="B190" t="str">
            <v>70SF-1201A (NA)</v>
          </cell>
          <cell r="C190" t="str">
            <v>m</v>
          </cell>
          <cell r="D190">
            <v>254</v>
          </cell>
          <cell r="E190">
            <v>2.54</v>
          </cell>
          <cell r="F190">
            <v>256.5</v>
          </cell>
        </row>
        <row r="191">
          <cell r="A191">
            <v>1510</v>
          </cell>
          <cell r="B191" t="str">
            <v>70SF-1201B (NA)</v>
          </cell>
          <cell r="C191" t="str">
            <v>m</v>
          </cell>
          <cell r="D191">
            <v>254</v>
          </cell>
          <cell r="E191">
            <v>2.54</v>
          </cell>
          <cell r="F191">
            <v>256.5</v>
          </cell>
        </row>
        <row r="192">
          <cell r="A192">
            <v>1511</v>
          </cell>
          <cell r="B192" t="str">
            <v>DG-02 (NA)</v>
          </cell>
          <cell r="C192" t="str">
            <v>m</v>
          </cell>
          <cell r="D192">
            <v>229.18</v>
          </cell>
          <cell r="E192">
            <v>2.29</v>
          </cell>
          <cell r="F192">
            <v>231.5</v>
          </cell>
        </row>
        <row r="193">
          <cell r="A193">
            <v>1512</v>
          </cell>
          <cell r="B193" t="str">
            <v>DG-102 (NA)</v>
          </cell>
          <cell r="C193" t="str">
            <v>m</v>
          </cell>
          <cell r="D193">
            <v>204.91</v>
          </cell>
          <cell r="E193">
            <v>2.0499999999999998</v>
          </cell>
          <cell r="F193">
            <v>207</v>
          </cell>
        </row>
        <row r="194">
          <cell r="A194">
            <v>1513</v>
          </cell>
          <cell r="B194" t="str">
            <v>CA-1001(NA)</v>
          </cell>
          <cell r="C194" t="str">
            <v>m</v>
          </cell>
          <cell r="D194">
            <v>569.01</v>
          </cell>
          <cell r="E194">
            <v>5.69</v>
          </cell>
          <cell r="F194">
            <v>574.5</v>
          </cell>
        </row>
        <row r="195">
          <cell r="A195">
            <v>1514</v>
          </cell>
          <cell r="B195" t="str">
            <v>CA-1002 (NA)</v>
          </cell>
          <cell r="C195" t="str">
            <v>m</v>
          </cell>
          <cell r="D195">
            <v>889.34</v>
          </cell>
          <cell r="E195">
            <v>8.89</v>
          </cell>
          <cell r="F195">
            <v>898</v>
          </cell>
        </row>
        <row r="196">
          <cell r="A196">
            <v>1515</v>
          </cell>
          <cell r="B196" t="str">
            <v>100D-1914 (NA)</v>
          </cell>
          <cell r="C196" t="str">
            <v>m</v>
          </cell>
          <cell r="D196">
            <v>124.61</v>
          </cell>
          <cell r="E196">
            <v>1.25</v>
          </cell>
          <cell r="F196">
            <v>126</v>
          </cell>
        </row>
        <row r="197">
          <cell r="A197">
            <v>1516</v>
          </cell>
          <cell r="B197" t="str">
            <v>CA-1007 (NA)</v>
          </cell>
          <cell r="C197" t="str">
            <v>m</v>
          </cell>
          <cell r="D197">
            <v>255.24</v>
          </cell>
          <cell r="E197">
            <v>2.5499999999999998</v>
          </cell>
          <cell r="F197">
            <v>258</v>
          </cell>
        </row>
        <row r="198">
          <cell r="A198">
            <v>1517</v>
          </cell>
          <cell r="B198" t="str">
            <v>CA-1008 (NA)</v>
          </cell>
          <cell r="C198" t="str">
            <v>m</v>
          </cell>
          <cell r="D198">
            <v>433.28</v>
          </cell>
          <cell r="E198">
            <v>4.33</v>
          </cell>
          <cell r="F198">
            <v>437.5</v>
          </cell>
        </row>
        <row r="199">
          <cell r="A199">
            <v>1518</v>
          </cell>
          <cell r="B199" t="str">
            <v>CA-2005 (NA)</v>
          </cell>
          <cell r="C199" t="str">
            <v>m</v>
          </cell>
          <cell r="D199">
            <v>485.08</v>
          </cell>
          <cell r="E199">
            <v>4.8499999999999996</v>
          </cell>
          <cell r="F199">
            <v>490</v>
          </cell>
        </row>
        <row r="200">
          <cell r="A200">
            <v>1519</v>
          </cell>
          <cell r="B200" t="str">
            <v>A-111 (MF)</v>
          </cell>
          <cell r="C200" t="str">
            <v>m</v>
          </cell>
          <cell r="D200">
            <v>392.87</v>
          </cell>
          <cell r="E200">
            <v>3.93</v>
          </cell>
          <cell r="F200">
            <v>397</v>
          </cell>
        </row>
        <row r="201">
          <cell r="A201">
            <v>1520</v>
          </cell>
          <cell r="B201" t="str">
            <v>DG-01 (NA)</v>
          </cell>
          <cell r="C201" t="str">
            <v>m</v>
          </cell>
          <cell r="D201">
            <v>219.18</v>
          </cell>
          <cell r="E201">
            <v>2.19</v>
          </cell>
          <cell r="F201">
            <v>221.5</v>
          </cell>
        </row>
        <row r="202">
          <cell r="A202">
            <v>1521</v>
          </cell>
          <cell r="B202" t="str">
            <v>DG-101(NA)</v>
          </cell>
          <cell r="C202" t="str">
            <v>m</v>
          </cell>
          <cell r="D202">
            <v>189.01</v>
          </cell>
          <cell r="E202">
            <v>1.89</v>
          </cell>
          <cell r="F202">
            <v>191</v>
          </cell>
        </row>
        <row r="203">
          <cell r="A203">
            <v>1522</v>
          </cell>
          <cell r="B203" t="str">
            <v>CA-2004 (NA)</v>
          </cell>
          <cell r="C203" t="str">
            <v>m</v>
          </cell>
          <cell r="D203">
            <v>332.78</v>
          </cell>
          <cell r="E203">
            <v>3.33</v>
          </cell>
          <cell r="F203">
            <v>336</v>
          </cell>
        </row>
        <row r="204">
          <cell r="A204">
            <v>1523</v>
          </cell>
          <cell r="B204" t="str">
            <v>GL-107 (NA)</v>
          </cell>
          <cell r="C204" t="str">
            <v>m</v>
          </cell>
          <cell r="D204">
            <v>130.82</v>
          </cell>
          <cell r="E204">
            <v>1.31</v>
          </cell>
          <cell r="F204">
            <v>132</v>
          </cell>
        </row>
        <row r="205">
          <cell r="A205">
            <v>1524</v>
          </cell>
          <cell r="B205" t="str">
            <v>CA-1003 (NA)</v>
          </cell>
          <cell r="C205" t="str">
            <v>m</v>
          </cell>
          <cell r="D205">
            <v>352.13</v>
          </cell>
          <cell r="E205">
            <v>3.52</v>
          </cell>
          <cell r="F205">
            <v>355.5</v>
          </cell>
        </row>
        <row r="206">
          <cell r="A206">
            <v>1525</v>
          </cell>
          <cell r="B206" t="str">
            <v>CA-1004 (NA)</v>
          </cell>
          <cell r="C206" t="str">
            <v>m</v>
          </cell>
          <cell r="D206">
            <v>526.39</v>
          </cell>
          <cell r="E206">
            <v>5.26</v>
          </cell>
          <cell r="F206">
            <v>531.5</v>
          </cell>
        </row>
        <row r="207">
          <cell r="A207">
            <v>1526</v>
          </cell>
          <cell r="B207" t="str">
            <v>CA-2006 (NA)</v>
          </cell>
          <cell r="C207" t="str">
            <v>m</v>
          </cell>
          <cell r="D207">
            <v>491.13</v>
          </cell>
          <cell r="E207">
            <v>4.91</v>
          </cell>
          <cell r="F207">
            <v>496</v>
          </cell>
        </row>
        <row r="208">
          <cell r="A208">
            <v>1527</v>
          </cell>
          <cell r="B208" t="str">
            <v>DG-02 (NA)</v>
          </cell>
          <cell r="C208" t="str">
            <v>m</v>
          </cell>
          <cell r="D208">
            <v>229.18</v>
          </cell>
          <cell r="E208">
            <v>2.29</v>
          </cell>
          <cell r="F208">
            <v>231.5</v>
          </cell>
        </row>
        <row r="209">
          <cell r="A209">
            <v>1528</v>
          </cell>
          <cell r="B209" t="str">
            <v>DG-102(NA)</v>
          </cell>
          <cell r="C209" t="str">
            <v>m</v>
          </cell>
          <cell r="D209">
            <v>204.91</v>
          </cell>
          <cell r="E209">
            <v>2.0499999999999998</v>
          </cell>
          <cell r="F209">
            <v>207</v>
          </cell>
        </row>
        <row r="210">
          <cell r="A210">
            <v>1529</v>
          </cell>
          <cell r="B210" t="str">
            <v>CA-1001 (NA)</v>
          </cell>
          <cell r="C210" t="str">
            <v>m</v>
          </cell>
          <cell r="D210">
            <v>569.01</v>
          </cell>
          <cell r="E210">
            <v>5.69</v>
          </cell>
          <cell r="F210">
            <v>574.5</v>
          </cell>
        </row>
        <row r="211">
          <cell r="A211">
            <v>1530</v>
          </cell>
          <cell r="B211" t="str">
            <v>CA-1002 (NA)</v>
          </cell>
          <cell r="C211" t="str">
            <v>m</v>
          </cell>
          <cell r="D211">
            <v>889.34</v>
          </cell>
          <cell r="E211">
            <v>8.89</v>
          </cell>
          <cell r="F211">
            <v>898</v>
          </cell>
        </row>
        <row r="212">
          <cell r="A212">
            <v>1531</v>
          </cell>
          <cell r="B212" t="str">
            <v>100D-3104 (NA)</v>
          </cell>
          <cell r="C212" t="str">
            <v>m</v>
          </cell>
          <cell r="D212">
            <v>602.61</v>
          </cell>
          <cell r="E212">
            <v>6.03</v>
          </cell>
          <cell r="F212">
            <v>608.5</v>
          </cell>
        </row>
        <row r="213">
          <cell r="A213">
            <v>1532</v>
          </cell>
          <cell r="B213" t="str">
            <v>100D-101 (NA)</v>
          </cell>
          <cell r="C213" t="str">
            <v>m</v>
          </cell>
          <cell r="D213">
            <v>823.23</v>
          </cell>
          <cell r="E213">
            <v>8.23</v>
          </cell>
          <cell r="F213">
            <v>831.5</v>
          </cell>
        </row>
        <row r="214">
          <cell r="A214">
            <v>1533</v>
          </cell>
          <cell r="B214" t="str">
            <v>100D-102 (NA)</v>
          </cell>
          <cell r="C214" t="str">
            <v>m</v>
          </cell>
          <cell r="D214">
            <v>862.3</v>
          </cell>
          <cell r="E214">
            <v>8.6199999999999992</v>
          </cell>
          <cell r="F214">
            <v>871</v>
          </cell>
        </row>
        <row r="215">
          <cell r="A215">
            <v>1534</v>
          </cell>
          <cell r="B215" t="str">
            <v>100D-201 (NA)</v>
          </cell>
          <cell r="C215" t="str">
            <v>m</v>
          </cell>
          <cell r="D215">
            <v>796.92</v>
          </cell>
          <cell r="E215">
            <v>7.97</v>
          </cell>
          <cell r="F215">
            <v>805</v>
          </cell>
        </row>
        <row r="216">
          <cell r="A216">
            <v>1535</v>
          </cell>
          <cell r="B216" t="str">
            <v>100D-301 (NA)</v>
          </cell>
          <cell r="C216" t="str">
            <v>m</v>
          </cell>
          <cell r="D216">
            <v>946.61</v>
          </cell>
          <cell r="E216">
            <v>9.4700000000000006</v>
          </cell>
          <cell r="F216">
            <v>956</v>
          </cell>
        </row>
        <row r="217">
          <cell r="A217">
            <v>1536</v>
          </cell>
          <cell r="B217" t="str">
            <v>100D-401 (NA)</v>
          </cell>
          <cell r="C217" t="str">
            <v>m</v>
          </cell>
          <cell r="D217">
            <v>1048.3</v>
          </cell>
          <cell r="E217">
            <v>10.48</v>
          </cell>
          <cell r="F217">
            <v>1059</v>
          </cell>
        </row>
        <row r="218">
          <cell r="A218">
            <v>1537</v>
          </cell>
          <cell r="B218" t="str">
            <v>100D-501 (NA)</v>
          </cell>
          <cell r="C218" t="str">
            <v>m</v>
          </cell>
          <cell r="D218">
            <v>112.15</v>
          </cell>
          <cell r="E218">
            <v>1.1200000000000001</v>
          </cell>
          <cell r="F218">
            <v>113.5</v>
          </cell>
        </row>
        <row r="219">
          <cell r="A219">
            <v>1538</v>
          </cell>
          <cell r="B219" t="str">
            <v>70D-1910 (NA)</v>
          </cell>
          <cell r="C219" t="str">
            <v>m</v>
          </cell>
          <cell r="D219">
            <v>128.30000000000001</v>
          </cell>
          <cell r="E219">
            <v>1.28</v>
          </cell>
          <cell r="F219">
            <v>129.5</v>
          </cell>
        </row>
        <row r="220">
          <cell r="A220">
            <v>1539</v>
          </cell>
          <cell r="B220" t="str">
            <v>100D-3503A (NA)</v>
          </cell>
          <cell r="C220" t="str">
            <v>m</v>
          </cell>
          <cell r="D220">
            <v>596.91999999999996</v>
          </cell>
          <cell r="E220">
            <v>5.97</v>
          </cell>
          <cell r="F220">
            <v>603</v>
          </cell>
        </row>
        <row r="221">
          <cell r="A221">
            <v>1540</v>
          </cell>
          <cell r="B221" t="str">
            <v>100D-3004A (NA)</v>
          </cell>
          <cell r="C221" t="str">
            <v>m</v>
          </cell>
          <cell r="D221">
            <v>704.3</v>
          </cell>
          <cell r="E221">
            <v>7.04</v>
          </cell>
          <cell r="F221">
            <v>711</v>
          </cell>
        </row>
        <row r="222">
          <cell r="A222">
            <v>1541</v>
          </cell>
          <cell r="B222" t="str">
            <v>100D-3207 (NA)</v>
          </cell>
          <cell r="C222" t="str">
            <v>m</v>
          </cell>
          <cell r="D222">
            <v>918.15</v>
          </cell>
          <cell r="E222">
            <v>9.18</v>
          </cell>
          <cell r="F222">
            <v>937.5</v>
          </cell>
        </row>
        <row r="223">
          <cell r="A223">
            <v>1542</v>
          </cell>
          <cell r="B223" t="str">
            <v>100D-3503 (NA)</v>
          </cell>
          <cell r="C223" t="str">
            <v>m</v>
          </cell>
          <cell r="D223">
            <v>651.69000000000005</v>
          </cell>
          <cell r="E223">
            <v>6.52</v>
          </cell>
          <cell r="F223">
            <v>658</v>
          </cell>
        </row>
        <row r="224">
          <cell r="A224">
            <v>1543</v>
          </cell>
          <cell r="B224" t="str">
            <v>100D-1914 (NA)</v>
          </cell>
          <cell r="C224" t="str">
            <v>m</v>
          </cell>
          <cell r="D224">
            <v>124.61</v>
          </cell>
          <cell r="E224">
            <v>1.25</v>
          </cell>
          <cell r="F224">
            <v>126</v>
          </cell>
        </row>
        <row r="225">
          <cell r="A225">
            <v>1544</v>
          </cell>
          <cell r="B225" t="str">
            <v>100D-3203 (NA)</v>
          </cell>
          <cell r="C225" t="str">
            <v>m</v>
          </cell>
          <cell r="D225">
            <v>693.07</v>
          </cell>
          <cell r="E225">
            <v>6.93</v>
          </cell>
          <cell r="F225">
            <v>700</v>
          </cell>
        </row>
        <row r="226">
          <cell r="A226">
            <v>1545</v>
          </cell>
          <cell r="B226" t="str">
            <v>70S-1002-1(NA)</v>
          </cell>
          <cell r="C226" t="str">
            <v>m</v>
          </cell>
          <cell r="D226">
            <v>323.83999999999997</v>
          </cell>
          <cell r="E226">
            <v>3.24</v>
          </cell>
          <cell r="F226">
            <v>327</v>
          </cell>
        </row>
        <row r="227">
          <cell r="A227">
            <v>1546</v>
          </cell>
          <cell r="B227" t="str">
            <v>70S-1102-1 (NA)</v>
          </cell>
          <cell r="C227" t="str">
            <v>m</v>
          </cell>
          <cell r="D227">
            <v>236.92</v>
          </cell>
          <cell r="E227">
            <v>2.37</v>
          </cell>
          <cell r="F227">
            <v>239.5</v>
          </cell>
        </row>
        <row r="228">
          <cell r="A228">
            <v>1547</v>
          </cell>
          <cell r="B228" t="str">
            <v>70S-1202-1(NA)</v>
          </cell>
          <cell r="C228" t="str">
            <v>m</v>
          </cell>
          <cell r="D228">
            <v>236.92</v>
          </cell>
          <cell r="E228">
            <v>2.37</v>
          </cell>
          <cell r="F228">
            <v>239.5</v>
          </cell>
        </row>
        <row r="229">
          <cell r="A229">
            <v>1548</v>
          </cell>
          <cell r="B229" t="str">
            <v>70S-1704A (NA)</v>
          </cell>
          <cell r="C229" t="str">
            <v>m</v>
          </cell>
          <cell r="D229">
            <v>441.38</v>
          </cell>
          <cell r="E229">
            <v>4.41</v>
          </cell>
          <cell r="F229">
            <v>446</v>
          </cell>
        </row>
        <row r="230">
          <cell r="A230">
            <v>1549</v>
          </cell>
          <cell r="B230" t="str">
            <v>70S-1402-1 (NA)</v>
          </cell>
          <cell r="C230" t="str">
            <v>m</v>
          </cell>
          <cell r="D230">
            <v>299.52999999999997</v>
          </cell>
          <cell r="E230">
            <v>3</v>
          </cell>
          <cell r="F230">
            <v>302.5</v>
          </cell>
        </row>
        <row r="231">
          <cell r="A231">
            <v>1550</v>
          </cell>
          <cell r="B231" t="str">
            <v>70S-1801 (NA)</v>
          </cell>
          <cell r="C231" t="str">
            <v>m</v>
          </cell>
          <cell r="D231">
            <v>281.38</v>
          </cell>
          <cell r="E231">
            <v>2.81</v>
          </cell>
          <cell r="F231">
            <v>284</v>
          </cell>
        </row>
        <row r="232">
          <cell r="A232">
            <v>1551</v>
          </cell>
          <cell r="B232" t="str">
            <v>70S-1101-2 (NA)</v>
          </cell>
          <cell r="C232" t="str">
            <v>m</v>
          </cell>
          <cell r="D232">
            <v>466.46</v>
          </cell>
          <cell r="E232">
            <v>4.66</v>
          </cell>
          <cell r="F232">
            <v>471</v>
          </cell>
        </row>
        <row r="233">
          <cell r="A233">
            <v>1552</v>
          </cell>
          <cell r="B233" t="str">
            <v>70S-1001-1 (NA)</v>
          </cell>
          <cell r="C233" t="str">
            <v>m</v>
          </cell>
          <cell r="D233">
            <v>461.07</v>
          </cell>
          <cell r="E233">
            <v>4.6100000000000003</v>
          </cell>
          <cell r="F233">
            <v>465.5</v>
          </cell>
        </row>
        <row r="234">
          <cell r="A234">
            <v>1553</v>
          </cell>
          <cell r="B234" t="str">
            <v>70S-1704A (NA)</v>
          </cell>
          <cell r="C234" t="str">
            <v>m</v>
          </cell>
          <cell r="D234">
            <v>441.38</v>
          </cell>
          <cell r="E234">
            <v>4.41</v>
          </cell>
          <cell r="F234">
            <v>446</v>
          </cell>
        </row>
        <row r="235">
          <cell r="A235">
            <v>1554</v>
          </cell>
          <cell r="B235" t="str">
            <v>70S-1401-1 (NA)</v>
          </cell>
          <cell r="C235" t="str">
            <v>m</v>
          </cell>
          <cell r="D235">
            <v>306.76</v>
          </cell>
          <cell r="E235">
            <v>3.07</v>
          </cell>
          <cell r="F235">
            <v>310</v>
          </cell>
        </row>
        <row r="236">
          <cell r="A236">
            <v>1555</v>
          </cell>
          <cell r="B236" t="str">
            <v>70S-1201-1 (NA)</v>
          </cell>
          <cell r="C236" t="str">
            <v>m</v>
          </cell>
          <cell r="D236">
            <v>375.07</v>
          </cell>
          <cell r="E236">
            <v>3.75</v>
          </cell>
          <cell r="F236">
            <v>379</v>
          </cell>
        </row>
        <row r="237">
          <cell r="A237">
            <v>1556</v>
          </cell>
          <cell r="B237" t="str">
            <v>70S-1604 (NA)</v>
          </cell>
          <cell r="C237" t="str">
            <v>m</v>
          </cell>
          <cell r="D237">
            <v>367.07</v>
          </cell>
          <cell r="E237">
            <v>3.67</v>
          </cell>
          <cell r="F237">
            <v>371</v>
          </cell>
        </row>
        <row r="238">
          <cell r="A238">
            <v>1557</v>
          </cell>
          <cell r="B238" t="str">
            <v>70S-1801 (NA)</v>
          </cell>
          <cell r="C238" t="str">
            <v>m</v>
          </cell>
          <cell r="D238">
            <v>281.38</v>
          </cell>
          <cell r="E238">
            <v>2.81</v>
          </cell>
          <cell r="F238">
            <v>284</v>
          </cell>
        </row>
        <row r="239">
          <cell r="A239">
            <v>1558</v>
          </cell>
          <cell r="B239" t="str">
            <v>PT-5157 (NA)</v>
          </cell>
          <cell r="C239" t="str">
            <v>m</v>
          </cell>
          <cell r="D239">
            <v>306.39</v>
          </cell>
          <cell r="E239">
            <v>3.06</v>
          </cell>
          <cell r="F239">
            <v>309.5</v>
          </cell>
        </row>
        <row r="240">
          <cell r="A240">
            <v>1559</v>
          </cell>
          <cell r="B240" t="str">
            <v>PT-5158 (NA)</v>
          </cell>
          <cell r="C240" t="str">
            <v>m</v>
          </cell>
          <cell r="D240">
            <v>226.72</v>
          </cell>
          <cell r="E240">
            <v>2.27</v>
          </cell>
          <cell r="F240">
            <v>229</v>
          </cell>
        </row>
        <row r="241">
          <cell r="A241">
            <v>1560</v>
          </cell>
          <cell r="B241" t="str">
            <v>PT-5153 (NA)</v>
          </cell>
          <cell r="C241" t="str">
            <v>m</v>
          </cell>
          <cell r="D241">
            <v>82.78</v>
          </cell>
          <cell r="E241">
            <v>0.83</v>
          </cell>
          <cell r="F241">
            <v>83.5</v>
          </cell>
        </row>
        <row r="242">
          <cell r="A242">
            <v>1561</v>
          </cell>
          <cell r="B242" t="str">
            <v>PT-5154 (NA)</v>
          </cell>
          <cell r="C242" t="str">
            <v>m</v>
          </cell>
          <cell r="D242">
            <v>169.34</v>
          </cell>
          <cell r="E242">
            <v>1.69</v>
          </cell>
          <cell r="F242">
            <v>171</v>
          </cell>
        </row>
        <row r="243">
          <cell r="A243">
            <v>1562</v>
          </cell>
          <cell r="B243" t="str">
            <v>A-110A (MF)</v>
          </cell>
          <cell r="C243" t="str">
            <v>m</v>
          </cell>
          <cell r="D243">
            <v>287.37</v>
          </cell>
          <cell r="E243">
            <v>2.87</v>
          </cell>
          <cell r="F243">
            <v>290</v>
          </cell>
        </row>
        <row r="244">
          <cell r="B244" t="str">
            <v>Aluminium Extrusions (Bronze Anodized)</v>
          </cell>
        </row>
        <row r="245">
          <cell r="A245">
            <v>1601</v>
          </cell>
          <cell r="B245" t="str">
            <v>70S-1101-1 (BA)</v>
          </cell>
          <cell r="C245" t="str">
            <v>m</v>
          </cell>
          <cell r="D245">
            <v>458.61</v>
          </cell>
          <cell r="E245">
            <v>4.59</v>
          </cell>
          <cell r="F245">
            <v>463</v>
          </cell>
        </row>
        <row r="246">
          <cell r="A246">
            <v>1602</v>
          </cell>
          <cell r="B246" t="str">
            <v>70S-1001-1 (BA)</v>
          </cell>
          <cell r="C246" t="str">
            <v>m</v>
          </cell>
          <cell r="D246">
            <v>469.38</v>
          </cell>
          <cell r="E246">
            <v>4.6900000000000004</v>
          </cell>
          <cell r="F246">
            <v>474</v>
          </cell>
        </row>
        <row r="247">
          <cell r="A247">
            <v>1603</v>
          </cell>
          <cell r="B247" t="str">
            <v>70S-1201-1 (BA)</v>
          </cell>
          <cell r="C247" t="str">
            <v>m</v>
          </cell>
          <cell r="D247">
            <v>382</v>
          </cell>
          <cell r="E247">
            <v>3.82</v>
          </cell>
          <cell r="F247">
            <v>386</v>
          </cell>
        </row>
        <row r="248">
          <cell r="A248">
            <v>1604</v>
          </cell>
          <cell r="B248" t="str">
            <v>70S-1604 (BA)</v>
          </cell>
          <cell r="C248" t="str">
            <v>m</v>
          </cell>
          <cell r="D248">
            <v>373.85</v>
          </cell>
          <cell r="E248">
            <v>3.74</v>
          </cell>
          <cell r="F248">
            <v>377.5</v>
          </cell>
        </row>
        <row r="249">
          <cell r="A249">
            <v>1605</v>
          </cell>
          <cell r="B249" t="str">
            <v>70S-1704 (BA)</v>
          </cell>
          <cell r="C249" t="str">
            <v>m</v>
          </cell>
          <cell r="D249">
            <v>352.77</v>
          </cell>
          <cell r="E249">
            <v>3.53</v>
          </cell>
          <cell r="F249">
            <v>356.5</v>
          </cell>
        </row>
        <row r="250">
          <cell r="A250">
            <v>1606</v>
          </cell>
          <cell r="B250" t="str">
            <v>70S-1503A (BA)</v>
          </cell>
          <cell r="C250" t="str">
            <v>m</v>
          </cell>
          <cell r="D250">
            <v>441.38</v>
          </cell>
          <cell r="E250">
            <v>4.41</v>
          </cell>
          <cell r="F250">
            <v>446</v>
          </cell>
        </row>
        <row r="251">
          <cell r="A251">
            <v>1607</v>
          </cell>
          <cell r="B251" t="str">
            <v>70S-1401-1 (BA)</v>
          </cell>
          <cell r="C251" t="str">
            <v>m</v>
          </cell>
          <cell r="D251">
            <v>312</v>
          </cell>
          <cell r="E251">
            <v>3.12</v>
          </cell>
          <cell r="F251">
            <v>315</v>
          </cell>
        </row>
        <row r="252">
          <cell r="A252">
            <v>1608</v>
          </cell>
          <cell r="B252" t="str">
            <v>70SF-1006 (BA)</v>
          </cell>
          <cell r="C252" t="str">
            <v>m</v>
          </cell>
          <cell r="D252">
            <v>740.46</v>
          </cell>
          <cell r="E252">
            <v>7.4</v>
          </cell>
          <cell r="F252">
            <v>748</v>
          </cell>
        </row>
        <row r="253">
          <cell r="A253">
            <v>1609</v>
          </cell>
          <cell r="B253" t="str">
            <v>70SF-1201A (BA)</v>
          </cell>
          <cell r="C253" t="str">
            <v>m</v>
          </cell>
          <cell r="D253">
            <v>258.14999999999998</v>
          </cell>
          <cell r="E253">
            <v>2.58</v>
          </cell>
          <cell r="F253">
            <v>261</v>
          </cell>
        </row>
        <row r="254">
          <cell r="A254">
            <v>1610</v>
          </cell>
          <cell r="B254" t="str">
            <v>70SF-1201B (BA)</v>
          </cell>
          <cell r="C254" t="str">
            <v>m</v>
          </cell>
          <cell r="D254">
            <v>258.14999999999998</v>
          </cell>
          <cell r="E254">
            <v>2.58</v>
          </cell>
          <cell r="F254">
            <v>260.5</v>
          </cell>
        </row>
        <row r="255">
          <cell r="A255">
            <v>1611</v>
          </cell>
          <cell r="B255" t="str">
            <v>DG-02 (BA)</v>
          </cell>
          <cell r="C255" t="str">
            <v>m</v>
          </cell>
          <cell r="D255">
            <v>233.6</v>
          </cell>
          <cell r="E255">
            <v>2.34</v>
          </cell>
          <cell r="F255">
            <v>236</v>
          </cell>
        </row>
        <row r="256">
          <cell r="A256">
            <v>1612</v>
          </cell>
          <cell r="B256" t="str">
            <v>DG-102 (BA)</v>
          </cell>
          <cell r="C256" t="str">
            <v>m</v>
          </cell>
          <cell r="D256">
            <v>208.52</v>
          </cell>
          <cell r="E256">
            <v>2.09</v>
          </cell>
          <cell r="F256">
            <v>210.5</v>
          </cell>
        </row>
        <row r="257">
          <cell r="A257">
            <v>1613</v>
          </cell>
          <cell r="B257" t="str">
            <v>CA-1001(BA)</v>
          </cell>
          <cell r="C257" t="str">
            <v>m</v>
          </cell>
          <cell r="D257">
            <v>579.51</v>
          </cell>
          <cell r="E257">
            <v>5.8</v>
          </cell>
          <cell r="F257">
            <v>585.5</v>
          </cell>
        </row>
        <row r="258">
          <cell r="A258">
            <v>1614</v>
          </cell>
          <cell r="B258" t="str">
            <v>CA-1002 (BA)</v>
          </cell>
          <cell r="C258" t="str">
            <v>m</v>
          </cell>
          <cell r="D258">
            <v>905.57</v>
          </cell>
          <cell r="E258">
            <v>9.06</v>
          </cell>
          <cell r="F258">
            <v>914.5</v>
          </cell>
        </row>
        <row r="259">
          <cell r="A259">
            <v>1615</v>
          </cell>
          <cell r="B259" t="str">
            <v>100D-1914 (BA)</v>
          </cell>
          <cell r="C259" t="str">
            <v>m</v>
          </cell>
          <cell r="D259">
            <v>127.07</v>
          </cell>
          <cell r="E259">
            <v>1.27</v>
          </cell>
          <cell r="F259">
            <v>128.5</v>
          </cell>
        </row>
        <row r="260">
          <cell r="A260">
            <v>1616</v>
          </cell>
          <cell r="B260" t="str">
            <v>CA-1007 (BA)</v>
          </cell>
          <cell r="C260" t="str">
            <v>m</v>
          </cell>
          <cell r="D260">
            <v>260.32</v>
          </cell>
          <cell r="E260">
            <v>2.6</v>
          </cell>
          <cell r="F260">
            <v>263</v>
          </cell>
        </row>
        <row r="261">
          <cell r="A261">
            <v>1617</v>
          </cell>
          <cell r="B261" t="str">
            <v>CA-1008 (BA)</v>
          </cell>
          <cell r="C261" t="str">
            <v>m</v>
          </cell>
          <cell r="D261">
            <v>441.8</v>
          </cell>
          <cell r="E261">
            <v>4.42</v>
          </cell>
          <cell r="F261">
            <v>446</v>
          </cell>
        </row>
        <row r="262">
          <cell r="A262">
            <v>1618</v>
          </cell>
          <cell r="B262" t="str">
            <v>CA-2005 (BA)</v>
          </cell>
          <cell r="C262" t="str">
            <v>m</v>
          </cell>
          <cell r="D262">
            <v>493.6</v>
          </cell>
          <cell r="E262">
            <v>4.9400000000000004</v>
          </cell>
          <cell r="F262">
            <v>498.5</v>
          </cell>
        </row>
        <row r="263">
          <cell r="A263">
            <v>1619</v>
          </cell>
          <cell r="B263" t="str">
            <v>A-111 (MF)</v>
          </cell>
          <cell r="C263" t="str">
            <v>m</v>
          </cell>
          <cell r="D263">
            <v>392.88</v>
          </cell>
          <cell r="E263">
            <v>3.93</v>
          </cell>
          <cell r="F263">
            <v>397</v>
          </cell>
        </row>
        <row r="264">
          <cell r="A264">
            <v>1620</v>
          </cell>
          <cell r="B264" t="str">
            <v>DG-01 (BA)</v>
          </cell>
          <cell r="C264" t="str">
            <v>m</v>
          </cell>
          <cell r="D264">
            <v>223.44</v>
          </cell>
          <cell r="E264">
            <v>2.23</v>
          </cell>
          <cell r="F264">
            <v>225.5</v>
          </cell>
        </row>
        <row r="265">
          <cell r="A265">
            <v>1621</v>
          </cell>
          <cell r="B265" t="str">
            <v>DG-101(BA)</v>
          </cell>
          <cell r="C265" t="str">
            <v>m</v>
          </cell>
          <cell r="D265">
            <v>192.46</v>
          </cell>
          <cell r="E265">
            <v>1.92</v>
          </cell>
          <cell r="F265">
            <v>194.5</v>
          </cell>
        </row>
        <row r="266">
          <cell r="A266">
            <v>1622</v>
          </cell>
          <cell r="B266" t="str">
            <v>CA-2004 (BA)</v>
          </cell>
          <cell r="C266" t="str">
            <v>m</v>
          </cell>
          <cell r="D266">
            <v>339.01</v>
          </cell>
          <cell r="E266">
            <v>3.39</v>
          </cell>
          <cell r="F266">
            <v>342.5</v>
          </cell>
        </row>
        <row r="267">
          <cell r="A267">
            <v>1623</v>
          </cell>
          <cell r="B267" t="str">
            <v>GL-107 (BA)</v>
          </cell>
          <cell r="C267" t="str">
            <v>m</v>
          </cell>
          <cell r="D267">
            <v>132.94999999999999</v>
          </cell>
          <cell r="E267">
            <v>1.33</v>
          </cell>
          <cell r="F267">
            <v>134.5</v>
          </cell>
        </row>
        <row r="268">
          <cell r="A268">
            <v>1624</v>
          </cell>
          <cell r="B268" t="str">
            <v>CA-1003 (BA)</v>
          </cell>
          <cell r="C268" t="str">
            <v>m</v>
          </cell>
          <cell r="D268">
            <v>358.69</v>
          </cell>
          <cell r="E268">
            <v>3.59</v>
          </cell>
          <cell r="F268">
            <v>362.5</v>
          </cell>
        </row>
        <row r="269">
          <cell r="A269">
            <v>1625</v>
          </cell>
          <cell r="B269" t="str">
            <v>CA-1004 (BA)</v>
          </cell>
          <cell r="C269" t="str">
            <v>m</v>
          </cell>
          <cell r="D269">
            <v>535.9</v>
          </cell>
          <cell r="E269">
            <v>5.36</v>
          </cell>
          <cell r="F269">
            <v>541.5</v>
          </cell>
        </row>
        <row r="270">
          <cell r="A270">
            <v>1626</v>
          </cell>
          <cell r="B270" t="str">
            <v>CA-2006 (BA)</v>
          </cell>
          <cell r="C270" t="str">
            <v>m</v>
          </cell>
          <cell r="D270">
            <v>501.31</v>
          </cell>
          <cell r="E270">
            <v>5.01</v>
          </cell>
          <cell r="F270">
            <v>506.5</v>
          </cell>
        </row>
        <row r="271">
          <cell r="A271">
            <v>1627</v>
          </cell>
          <cell r="B271" t="str">
            <v>DG-02 (BA)</v>
          </cell>
          <cell r="C271" t="str">
            <v>m</v>
          </cell>
          <cell r="D271">
            <v>233.6</v>
          </cell>
          <cell r="E271">
            <v>2.34</v>
          </cell>
          <cell r="F271">
            <v>236</v>
          </cell>
        </row>
        <row r="272">
          <cell r="A272">
            <v>1628</v>
          </cell>
          <cell r="B272" t="str">
            <v>DG-102(BA)</v>
          </cell>
          <cell r="C272" t="str">
            <v>m</v>
          </cell>
          <cell r="D272">
            <v>208.52</v>
          </cell>
          <cell r="E272">
            <v>2.09</v>
          </cell>
          <cell r="F272">
            <v>210.5</v>
          </cell>
        </row>
        <row r="273">
          <cell r="A273">
            <v>1629</v>
          </cell>
          <cell r="B273" t="str">
            <v>CA-1001 (BA)</v>
          </cell>
          <cell r="C273" t="str">
            <v>m</v>
          </cell>
          <cell r="D273">
            <v>579.51</v>
          </cell>
          <cell r="E273">
            <v>5.8</v>
          </cell>
          <cell r="F273">
            <v>585.5</v>
          </cell>
        </row>
        <row r="274">
          <cell r="A274">
            <v>1630</v>
          </cell>
          <cell r="B274" t="str">
            <v>CA-1002 (BA)</v>
          </cell>
          <cell r="C274" t="str">
            <v>m</v>
          </cell>
          <cell r="D274">
            <v>905.57</v>
          </cell>
          <cell r="E274">
            <v>9.06</v>
          </cell>
          <cell r="F274">
            <v>914.5</v>
          </cell>
        </row>
        <row r="275">
          <cell r="A275">
            <v>1631</v>
          </cell>
          <cell r="B275" t="str">
            <v>100D-3104 (BA)</v>
          </cell>
          <cell r="C275" t="str">
            <v>m</v>
          </cell>
          <cell r="D275">
            <v>613.69000000000005</v>
          </cell>
          <cell r="E275">
            <v>6.14</v>
          </cell>
          <cell r="F275">
            <v>620</v>
          </cell>
        </row>
        <row r="276">
          <cell r="A276">
            <v>1632</v>
          </cell>
          <cell r="B276" t="str">
            <v>100D-101 (BA)</v>
          </cell>
          <cell r="C276" t="str">
            <v>m</v>
          </cell>
          <cell r="D276">
            <v>838.31</v>
          </cell>
          <cell r="E276">
            <v>8.3800000000000008</v>
          </cell>
          <cell r="F276">
            <v>846.5</v>
          </cell>
        </row>
        <row r="277">
          <cell r="A277">
            <v>1633</v>
          </cell>
          <cell r="B277" t="str">
            <v>100D-102 (BA)</v>
          </cell>
          <cell r="C277" t="str">
            <v>m</v>
          </cell>
          <cell r="D277">
            <v>877.85</v>
          </cell>
          <cell r="E277">
            <v>8.7799999999999994</v>
          </cell>
          <cell r="F277">
            <v>886.5</v>
          </cell>
        </row>
        <row r="278">
          <cell r="A278">
            <v>1634</v>
          </cell>
          <cell r="B278" t="str">
            <v>100D-201 (BA)</v>
          </cell>
          <cell r="C278" t="str">
            <v>m</v>
          </cell>
          <cell r="D278">
            <v>811.69</v>
          </cell>
          <cell r="E278">
            <v>8.1199999999999992</v>
          </cell>
          <cell r="F278">
            <v>820</v>
          </cell>
        </row>
        <row r="279">
          <cell r="A279">
            <v>1635</v>
          </cell>
          <cell r="B279" t="str">
            <v>100D-301 (BA)</v>
          </cell>
          <cell r="C279" t="str">
            <v>m</v>
          </cell>
          <cell r="D279">
            <v>964</v>
          </cell>
          <cell r="E279">
            <v>9.64</v>
          </cell>
          <cell r="F279">
            <v>973.5</v>
          </cell>
        </row>
        <row r="280">
          <cell r="A280">
            <v>1636</v>
          </cell>
          <cell r="B280" t="str">
            <v>100D-401 (BA)</v>
          </cell>
          <cell r="C280" t="str">
            <v>m</v>
          </cell>
          <cell r="D280">
            <v>1067.69</v>
          </cell>
          <cell r="E280">
            <v>10.68</v>
          </cell>
          <cell r="F280">
            <v>1078.5</v>
          </cell>
        </row>
        <row r="281">
          <cell r="A281">
            <v>1637</v>
          </cell>
          <cell r="B281" t="str">
            <v>100D-501 (BA)</v>
          </cell>
          <cell r="C281" t="str">
            <v>m</v>
          </cell>
          <cell r="D281">
            <v>114.15</v>
          </cell>
          <cell r="E281">
            <v>1.1399999999999999</v>
          </cell>
          <cell r="F281">
            <v>115.5</v>
          </cell>
        </row>
        <row r="282">
          <cell r="A282">
            <v>1638</v>
          </cell>
          <cell r="B282" t="str">
            <v>70D-1910 (BA)</v>
          </cell>
          <cell r="C282" t="str">
            <v>m</v>
          </cell>
          <cell r="D282">
            <v>130.30000000000001</v>
          </cell>
          <cell r="E282">
            <v>1.3</v>
          </cell>
          <cell r="F282">
            <v>131.5</v>
          </cell>
        </row>
        <row r="283">
          <cell r="A283">
            <v>1639</v>
          </cell>
          <cell r="B283" t="str">
            <v>100D-3503A (BA)</v>
          </cell>
          <cell r="C283" t="str">
            <v>m</v>
          </cell>
          <cell r="D283">
            <v>607.69000000000005</v>
          </cell>
          <cell r="E283">
            <v>6.08</v>
          </cell>
          <cell r="F283">
            <v>613.5</v>
          </cell>
        </row>
        <row r="284">
          <cell r="A284">
            <v>1640</v>
          </cell>
          <cell r="B284" t="str">
            <v>100D-3004A (BA)</v>
          </cell>
          <cell r="C284" t="str">
            <v>m</v>
          </cell>
          <cell r="D284">
            <v>717.38</v>
          </cell>
          <cell r="E284">
            <v>7.17</v>
          </cell>
          <cell r="F284">
            <v>724.5</v>
          </cell>
        </row>
        <row r="285">
          <cell r="A285">
            <v>1641</v>
          </cell>
          <cell r="B285" t="str">
            <v>100D-3207 (BA)</v>
          </cell>
          <cell r="C285" t="str">
            <v>m</v>
          </cell>
          <cell r="D285">
            <v>934.92</v>
          </cell>
          <cell r="E285">
            <v>9.35</v>
          </cell>
          <cell r="F285">
            <v>944.5</v>
          </cell>
        </row>
        <row r="286">
          <cell r="A286">
            <v>1642</v>
          </cell>
          <cell r="B286" t="str">
            <v>100D-3503 (BA)</v>
          </cell>
          <cell r="C286" t="str">
            <v>m</v>
          </cell>
          <cell r="D286">
            <v>663.85</v>
          </cell>
          <cell r="E286">
            <v>6.64</v>
          </cell>
          <cell r="F286">
            <v>670.5</v>
          </cell>
        </row>
        <row r="287">
          <cell r="A287">
            <v>1643</v>
          </cell>
          <cell r="B287" t="str">
            <v>100D-1914 (BA)</v>
          </cell>
          <cell r="C287" t="str">
            <v>m</v>
          </cell>
          <cell r="D287">
            <v>127.07</v>
          </cell>
          <cell r="E287">
            <v>1.27</v>
          </cell>
          <cell r="F287">
            <v>128.5</v>
          </cell>
        </row>
        <row r="288">
          <cell r="A288">
            <v>1644</v>
          </cell>
          <cell r="B288" t="str">
            <v>100D-3203 (BA)</v>
          </cell>
          <cell r="C288" t="str">
            <v>m</v>
          </cell>
          <cell r="D288">
            <v>705.53</v>
          </cell>
          <cell r="E288">
            <v>7.06</v>
          </cell>
          <cell r="F288">
            <v>712.5</v>
          </cell>
        </row>
        <row r="289">
          <cell r="A289">
            <v>1645</v>
          </cell>
          <cell r="B289" t="str">
            <v>70S-1002-1(BA)</v>
          </cell>
          <cell r="C289" t="str">
            <v>m</v>
          </cell>
          <cell r="D289">
            <v>329.69</v>
          </cell>
          <cell r="E289">
            <v>3.3</v>
          </cell>
          <cell r="F289">
            <v>333</v>
          </cell>
        </row>
        <row r="290">
          <cell r="A290">
            <v>1646</v>
          </cell>
          <cell r="B290" t="str">
            <v>70S-1102-1 (BA)</v>
          </cell>
          <cell r="C290" t="str">
            <v>m</v>
          </cell>
          <cell r="D290">
            <v>241.23</v>
          </cell>
          <cell r="E290">
            <v>2.41</v>
          </cell>
          <cell r="F290">
            <v>243.5</v>
          </cell>
        </row>
        <row r="291">
          <cell r="A291">
            <v>1647</v>
          </cell>
          <cell r="B291" t="str">
            <v>70S-1202-1(BA)</v>
          </cell>
          <cell r="C291" t="str">
            <v>m</v>
          </cell>
          <cell r="D291">
            <v>241.23</v>
          </cell>
          <cell r="E291">
            <v>2.41</v>
          </cell>
          <cell r="F291">
            <v>243.5</v>
          </cell>
        </row>
        <row r="292">
          <cell r="A292">
            <v>1648</v>
          </cell>
          <cell r="B292" t="str">
            <v>70S-1704A (BA)</v>
          </cell>
          <cell r="C292" t="str">
            <v>m</v>
          </cell>
          <cell r="D292">
            <v>449.54</v>
          </cell>
          <cell r="E292">
            <v>4.5</v>
          </cell>
          <cell r="F292">
            <v>454</v>
          </cell>
        </row>
        <row r="293">
          <cell r="A293">
            <v>1649</v>
          </cell>
          <cell r="B293" t="str">
            <v>70S-1402-1 (BA)</v>
          </cell>
          <cell r="C293" t="str">
            <v>m</v>
          </cell>
          <cell r="D293">
            <v>304.92</v>
          </cell>
          <cell r="E293">
            <v>3.05</v>
          </cell>
          <cell r="F293">
            <v>308</v>
          </cell>
        </row>
        <row r="294">
          <cell r="A294">
            <v>1650</v>
          </cell>
          <cell r="B294" t="str">
            <v>70S-1801 (BA)</v>
          </cell>
          <cell r="C294" t="str">
            <v>m</v>
          </cell>
          <cell r="D294">
            <v>286.45999999999998</v>
          </cell>
          <cell r="E294">
            <v>2.86</v>
          </cell>
          <cell r="F294">
            <v>289.5</v>
          </cell>
        </row>
        <row r="295">
          <cell r="A295">
            <v>1651</v>
          </cell>
          <cell r="B295" t="str">
            <v>70S-1101-2 (BA)</v>
          </cell>
          <cell r="C295" t="str">
            <v>m</v>
          </cell>
          <cell r="D295">
            <v>475.07</v>
          </cell>
          <cell r="E295">
            <v>4.75</v>
          </cell>
          <cell r="F295">
            <v>480</v>
          </cell>
        </row>
        <row r="296">
          <cell r="A296">
            <v>1652</v>
          </cell>
          <cell r="B296" t="str">
            <v>70S-1001-1 (BA)</v>
          </cell>
          <cell r="C296" t="str">
            <v>m</v>
          </cell>
          <cell r="D296">
            <v>469.38</v>
          </cell>
          <cell r="E296">
            <v>4.6900000000000004</v>
          </cell>
          <cell r="F296">
            <v>474</v>
          </cell>
        </row>
        <row r="297">
          <cell r="A297">
            <v>1653</v>
          </cell>
          <cell r="B297" t="str">
            <v>70S-1704A (BA)</v>
          </cell>
          <cell r="C297" t="str">
            <v>m</v>
          </cell>
          <cell r="D297">
            <v>449.54</v>
          </cell>
          <cell r="E297">
            <v>4.5</v>
          </cell>
          <cell r="F297">
            <v>454</v>
          </cell>
        </row>
        <row r="298">
          <cell r="A298">
            <v>1654</v>
          </cell>
          <cell r="B298" t="str">
            <v>70S-1401-1 (BA)</v>
          </cell>
          <cell r="C298" t="str">
            <v>m</v>
          </cell>
          <cell r="D298">
            <v>312</v>
          </cell>
          <cell r="E298">
            <v>3.12</v>
          </cell>
          <cell r="F298">
            <v>315</v>
          </cell>
        </row>
        <row r="299">
          <cell r="A299">
            <v>1655</v>
          </cell>
          <cell r="B299" t="str">
            <v>70S-1201-1 (BA)</v>
          </cell>
          <cell r="C299" t="str">
            <v>m</v>
          </cell>
          <cell r="D299">
            <v>382</v>
          </cell>
          <cell r="E299">
            <v>3.82</v>
          </cell>
          <cell r="F299">
            <v>386</v>
          </cell>
        </row>
        <row r="300">
          <cell r="A300">
            <v>1656</v>
          </cell>
          <cell r="B300" t="str">
            <v>70S-1604 (BA)</v>
          </cell>
          <cell r="C300" t="str">
            <v>m</v>
          </cell>
          <cell r="D300">
            <v>373.85</v>
          </cell>
          <cell r="E300">
            <v>3.74</v>
          </cell>
          <cell r="F300">
            <v>377.5</v>
          </cell>
        </row>
        <row r="301">
          <cell r="A301">
            <v>1657</v>
          </cell>
          <cell r="B301" t="str">
            <v>70S-1801 (BA)</v>
          </cell>
          <cell r="C301" t="str">
            <v>m</v>
          </cell>
          <cell r="D301">
            <v>286.45999999999998</v>
          </cell>
          <cell r="E301">
            <v>2.86</v>
          </cell>
          <cell r="F301">
            <v>289.5</v>
          </cell>
        </row>
        <row r="302">
          <cell r="A302">
            <v>1658</v>
          </cell>
          <cell r="B302" t="str">
            <v>PT-5157 (BA)</v>
          </cell>
          <cell r="C302" t="str">
            <v>m</v>
          </cell>
          <cell r="D302">
            <v>312.45999999999998</v>
          </cell>
          <cell r="E302">
            <v>3.12</v>
          </cell>
          <cell r="F302">
            <v>315.5</v>
          </cell>
        </row>
        <row r="303">
          <cell r="A303">
            <v>1659</v>
          </cell>
          <cell r="B303" t="str">
            <v>PT-5158 (BA)</v>
          </cell>
          <cell r="C303" t="str">
            <v>m</v>
          </cell>
          <cell r="D303">
            <v>230.32</v>
          </cell>
          <cell r="E303">
            <v>2.2999999999999998</v>
          </cell>
          <cell r="F303">
            <v>232.5</v>
          </cell>
        </row>
        <row r="304">
          <cell r="A304">
            <v>1660</v>
          </cell>
          <cell r="B304" t="str">
            <v>PT-5153 (BA)</v>
          </cell>
          <cell r="C304" t="str">
            <v>m</v>
          </cell>
          <cell r="D304">
            <v>84.42</v>
          </cell>
          <cell r="E304">
            <v>0.84</v>
          </cell>
          <cell r="F304">
            <v>85.5</v>
          </cell>
        </row>
        <row r="305">
          <cell r="A305">
            <v>1661</v>
          </cell>
          <cell r="B305" t="str">
            <v>PT-5154 (BA)</v>
          </cell>
          <cell r="C305" t="str">
            <v>m</v>
          </cell>
          <cell r="D305">
            <v>171.97</v>
          </cell>
          <cell r="E305">
            <v>1.72</v>
          </cell>
          <cell r="F305">
            <v>173.5</v>
          </cell>
        </row>
        <row r="306">
          <cell r="A306">
            <v>1662</v>
          </cell>
          <cell r="B306" t="str">
            <v>A-110A (MF)</v>
          </cell>
          <cell r="C306" t="str">
            <v>m</v>
          </cell>
          <cell r="D306">
            <v>257.05</v>
          </cell>
          <cell r="E306">
            <v>2.57</v>
          </cell>
          <cell r="F306">
            <v>259.5</v>
          </cell>
        </row>
        <row r="307">
          <cell r="B307" t="str">
            <v>Aluminium Extrusions (Powder Coated)</v>
          </cell>
        </row>
        <row r="308">
          <cell r="A308">
            <v>1701</v>
          </cell>
          <cell r="B308" t="str">
            <v>70S-1101-1 (PC)</v>
          </cell>
          <cell r="C308" t="str">
            <v>m</v>
          </cell>
          <cell r="D308">
            <v>519.38</v>
          </cell>
          <cell r="E308">
            <v>5.19</v>
          </cell>
          <cell r="F308">
            <v>524.5</v>
          </cell>
        </row>
        <row r="309">
          <cell r="A309">
            <v>1702</v>
          </cell>
          <cell r="B309" t="str">
            <v>70S-1001-1 (PC)</v>
          </cell>
          <cell r="C309" t="str">
            <v>m</v>
          </cell>
          <cell r="D309">
            <v>531.23</v>
          </cell>
          <cell r="E309">
            <v>5.31</v>
          </cell>
          <cell r="F309">
            <v>536.5</v>
          </cell>
        </row>
        <row r="310">
          <cell r="A310">
            <v>1703</v>
          </cell>
          <cell r="B310" t="str">
            <v>70S-1201-1 (PC)</v>
          </cell>
          <cell r="C310" t="str">
            <v>m</v>
          </cell>
          <cell r="D310">
            <v>432.15</v>
          </cell>
          <cell r="E310">
            <v>4.32</v>
          </cell>
          <cell r="F310">
            <v>436.5</v>
          </cell>
        </row>
        <row r="311">
          <cell r="A311">
            <v>1704</v>
          </cell>
          <cell r="B311" t="str">
            <v>70S-1604 (PC)</v>
          </cell>
          <cell r="C311" t="str">
            <v>m</v>
          </cell>
          <cell r="D311">
            <v>422.92</v>
          </cell>
          <cell r="E311">
            <v>4.2300000000000004</v>
          </cell>
          <cell r="F311">
            <v>427</v>
          </cell>
        </row>
        <row r="312">
          <cell r="A312">
            <v>1705</v>
          </cell>
          <cell r="B312" t="str">
            <v>70S-1704 (PC)</v>
          </cell>
          <cell r="C312" t="str">
            <v>m</v>
          </cell>
          <cell r="D312">
            <v>399.23</v>
          </cell>
          <cell r="E312">
            <v>3.99</v>
          </cell>
          <cell r="F312">
            <v>403</v>
          </cell>
        </row>
        <row r="313">
          <cell r="A313">
            <v>1706</v>
          </cell>
          <cell r="B313" t="str">
            <v>70S-1503A (PC)</v>
          </cell>
          <cell r="C313" t="str">
            <v>m</v>
          </cell>
          <cell r="D313">
            <v>499.54</v>
          </cell>
          <cell r="E313">
            <v>5</v>
          </cell>
          <cell r="F313">
            <v>504.5</v>
          </cell>
        </row>
        <row r="314">
          <cell r="A314">
            <v>1707</v>
          </cell>
          <cell r="B314" t="str">
            <v>70S-1401-1 (PC)</v>
          </cell>
          <cell r="C314" t="str">
            <v>m</v>
          </cell>
          <cell r="D314">
            <v>353.23</v>
          </cell>
          <cell r="E314">
            <v>3.53</v>
          </cell>
          <cell r="F314">
            <v>357</v>
          </cell>
        </row>
        <row r="315">
          <cell r="A315">
            <v>1708</v>
          </cell>
          <cell r="B315" t="str">
            <v>70SF-1006 (PC)</v>
          </cell>
          <cell r="C315" t="str">
            <v>m</v>
          </cell>
          <cell r="D315">
            <v>838.15</v>
          </cell>
          <cell r="E315">
            <v>8.3800000000000008</v>
          </cell>
          <cell r="F315">
            <v>846.5</v>
          </cell>
        </row>
        <row r="316">
          <cell r="A316">
            <v>1709</v>
          </cell>
          <cell r="B316" t="str">
            <v>70SF-1201A (PC)</v>
          </cell>
          <cell r="C316" t="str">
            <v>m</v>
          </cell>
          <cell r="D316">
            <v>292.61</v>
          </cell>
          <cell r="E316">
            <v>2.93</v>
          </cell>
          <cell r="F316">
            <v>295.5</v>
          </cell>
        </row>
        <row r="317">
          <cell r="A317">
            <v>1710</v>
          </cell>
          <cell r="B317" t="str">
            <v>70SF-1201B (PC)</v>
          </cell>
          <cell r="C317" t="str">
            <v>m</v>
          </cell>
          <cell r="D317">
            <v>292.61</v>
          </cell>
          <cell r="E317">
            <v>2.93</v>
          </cell>
          <cell r="F317">
            <v>295.5</v>
          </cell>
        </row>
        <row r="318">
          <cell r="A318">
            <v>1711</v>
          </cell>
          <cell r="B318" t="str">
            <v>DG-02 (PC)</v>
          </cell>
          <cell r="C318" t="str">
            <v>m</v>
          </cell>
          <cell r="D318">
            <v>264.43</v>
          </cell>
          <cell r="E318">
            <v>2.64</v>
          </cell>
          <cell r="F318">
            <v>267</v>
          </cell>
        </row>
        <row r="319">
          <cell r="A319">
            <v>1712</v>
          </cell>
          <cell r="B319" t="str">
            <v>DG-102 (PC)</v>
          </cell>
          <cell r="C319" t="str">
            <v>m</v>
          </cell>
          <cell r="D319">
            <v>236.06</v>
          </cell>
          <cell r="E319">
            <v>2.36</v>
          </cell>
          <cell r="F319">
            <v>238.5</v>
          </cell>
        </row>
        <row r="320">
          <cell r="A320">
            <v>1713</v>
          </cell>
          <cell r="B320" t="str">
            <v>CA-1001(PC)</v>
          </cell>
          <cell r="C320" t="str">
            <v>m</v>
          </cell>
          <cell r="D320">
            <v>655.57</v>
          </cell>
          <cell r="E320">
            <v>6.56</v>
          </cell>
          <cell r="F320">
            <v>662</v>
          </cell>
        </row>
        <row r="321">
          <cell r="A321">
            <v>1714</v>
          </cell>
          <cell r="B321" t="str">
            <v>CA-1002 (PC)</v>
          </cell>
          <cell r="C321" t="str">
            <v>m</v>
          </cell>
          <cell r="D321">
            <v>1024.92</v>
          </cell>
          <cell r="E321">
            <v>10.25</v>
          </cell>
          <cell r="F321">
            <v>1035</v>
          </cell>
        </row>
        <row r="322">
          <cell r="A322">
            <v>1715</v>
          </cell>
          <cell r="B322" t="str">
            <v>100D-1914 (PC)</v>
          </cell>
          <cell r="C322" t="str">
            <v>m</v>
          </cell>
          <cell r="D322">
            <v>143.84</v>
          </cell>
          <cell r="E322">
            <v>1.44</v>
          </cell>
          <cell r="F322">
            <v>145.5</v>
          </cell>
        </row>
        <row r="323">
          <cell r="A323">
            <v>1716</v>
          </cell>
          <cell r="B323" t="str">
            <v>CA-1007 (PC)</v>
          </cell>
          <cell r="C323" t="str">
            <v>m</v>
          </cell>
          <cell r="D323">
            <v>294.75</v>
          </cell>
          <cell r="E323">
            <v>2.95</v>
          </cell>
          <cell r="F323">
            <v>297.5</v>
          </cell>
        </row>
        <row r="324">
          <cell r="A324">
            <v>1717</v>
          </cell>
          <cell r="B324" t="str">
            <v>CA-1008 (PC)</v>
          </cell>
          <cell r="C324" t="str">
            <v>m</v>
          </cell>
          <cell r="D324">
            <v>500.16</v>
          </cell>
          <cell r="E324">
            <v>5</v>
          </cell>
          <cell r="F324">
            <v>505</v>
          </cell>
        </row>
        <row r="325">
          <cell r="A325">
            <v>1718</v>
          </cell>
          <cell r="B325" t="str">
            <v>CA-2005 (PC)</v>
          </cell>
          <cell r="C325" t="str">
            <v>m</v>
          </cell>
          <cell r="D325">
            <v>558.85</v>
          </cell>
          <cell r="E325">
            <v>5.59</v>
          </cell>
          <cell r="F325">
            <v>564.5</v>
          </cell>
        </row>
        <row r="326">
          <cell r="A326">
            <v>1719</v>
          </cell>
          <cell r="B326" t="str">
            <v>A-111 (MF)</v>
          </cell>
          <cell r="C326" t="str">
            <v>m</v>
          </cell>
          <cell r="D326">
            <v>392.87</v>
          </cell>
          <cell r="E326">
            <v>3.93</v>
          </cell>
          <cell r="F326">
            <v>397</v>
          </cell>
        </row>
        <row r="327">
          <cell r="A327">
            <v>1720</v>
          </cell>
          <cell r="B327" t="str">
            <v>DG-01 (PC)</v>
          </cell>
          <cell r="C327" t="str">
            <v>m</v>
          </cell>
          <cell r="D327">
            <v>252.95</v>
          </cell>
          <cell r="E327">
            <v>2.5299999999999998</v>
          </cell>
          <cell r="F327">
            <v>255.5</v>
          </cell>
        </row>
        <row r="328">
          <cell r="A328">
            <v>1721</v>
          </cell>
          <cell r="B328" t="str">
            <v>DG-101(PC)</v>
          </cell>
          <cell r="C328" t="str">
            <v>m</v>
          </cell>
          <cell r="D328">
            <v>217.54</v>
          </cell>
          <cell r="E328">
            <v>2.1800000000000002</v>
          </cell>
          <cell r="F328">
            <v>219.5</v>
          </cell>
        </row>
        <row r="329">
          <cell r="A329">
            <v>1722</v>
          </cell>
          <cell r="B329" t="str">
            <v>CA-2004 (PC)</v>
          </cell>
          <cell r="C329" t="str">
            <v>m</v>
          </cell>
          <cell r="D329">
            <v>384.26</v>
          </cell>
          <cell r="E329">
            <v>3.84</v>
          </cell>
          <cell r="F329">
            <v>388</v>
          </cell>
        </row>
        <row r="330">
          <cell r="A330">
            <v>1723</v>
          </cell>
          <cell r="B330" t="str">
            <v>GL-107 (PC)</v>
          </cell>
          <cell r="C330" t="str">
            <v>m</v>
          </cell>
          <cell r="D330">
            <v>151.15</v>
          </cell>
          <cell r="E330">
            <v>1.51</v>
          </cell>
          <cell r="F330">
            <v>152.5</v>
          </cell>
        </row>
        <row r="331">
          <cell r="A331">
            <v>1724</v>
          </cell>
          <cell r="B331" t="str">
            <v>CA-1003 (PC)</v>
          </cell>
          <cell r="C331" t="str">
            <v>m</v>
          </cell>
          <cell r="D331">
            <v>405.74</v>
          </cell>
          <cell r="E331">
            <v>4.0599999999999996</v>
          </cell>
          <cell r="F331">
            <v>410</v>
          </cell>
        </row>
        <row r="332">
          <cell r="A332">
            <v>1725</v>
          </cell>
          <cell r="B332" t="str">
            <v>CA-1004 (PC)</v>
          </cell>
          <cell r="C332" t="str">
            <v>m</v>
          </cell>
          <cell r="D332">
            <v>606.72</v>
          </cell>
          <cell r="E332">
            <v>6.07</v>
          </cell>
          <cell r="F332">
            <v>613</v>
          </cell>
        </row>
        <row r="333">
          <cell r="A333">
            <v>1726</v>
          </cell>
          <cell r="B333" t="str">
            <v>CA-2006 (PC)</v>
          </cell>
          <cell r="C333" t="str">
            <v>m</v>
          </cell>
          <cell r="D333">
            <v>567.37</v>
          </cell>
          <cell r="E333">
            <v>5.67</v>
          </cell>
          <cell r="F333">
            <v>573</v>
          </cell>
        </row>
        <row r="334">
          <cell r="A334">
            <v>1727</v>
          </cell>
          <cell r="B334" t="str">
            <v>DG-02 (PC)</v>
          </cell>
          <cell r="C334" t="str">
            <v>m</v>
          </cell>
          <cell r="D334">
            <v>264.43</v>
          </cell>
          <cell r="E334">
            <v>2.64</v>
          </cell>
          <cell r="F334">
            <v>267</v>
          </cell>
        </row>
        <row r="335">
          <cell r="A335">
            <v>1728</v>
          </cell>
          <cell r="B335" t="str">
            <v>DG-102(PC)</v>
          </cell>
          <cell r="C335" t="str">
            <v>m</v>
          </cell>
          <cell r="D335">
            <v>236.06</v>
          </cell>
          <cell r="E335">
            <v>2.36</v>
          </cell>
          <cell r="F335">
            <v>238.5</v>
          </cell>
        </row>
        <row r="336">
          <cell r="A336">
            <v>1729</v>
          </cell>
          <cell r="B336" t="str">
            <v>CA-1001 (PC)</v>
          </cell>
          <cell r="C336" t="str">
            <v>m</v>
          </cell>
          <cell r="D336">
            <v>655.57</v>
          </cell>
          <cell r="E336">
            <v>6.56</v>
          </cell>
          <cell r="F336">
            <v>662</v>
          </cell>
        </row>
        <row r="337">
          <cell r="A337">
            <v>1730</v>
          </cell>
          <cell r="B337" t="str">
            <v>CA-1002 (PC)</v>
          </cell>
          <cell r="C337" t="str">
            <v>m</v>
          </cell>
          <cell r="D337">
            <v>1024.92</v>
          </cell>
          <cell r="E337">
            <v>10.25</v>
          </cell>
          <cell r="F337">
            <v>1035</v>
          </cell>
        </row>
        <row r="338">
          <cell r="A338">
            <v>1731</v>
          </cell>
          <cell r="B338" t="str">
            <v>100D-3104 (PC)</v>
          </cell>
          <cell r="C338" t="str">
            <v>m</v>
          </cell>
          <cell r="D338">
            <v>694.46</v>
          </cell>
          <cell r="E338">
            <v>6.94</v>
          </cell>
          <cell r="F338">
            <v>701.5</v>
          </cell>
        </row>
        <row r="339">
          <cell r="A339">
            <v>1732</v>
          </cell>
          <cell r="B339" t="str">
            <v>100D-101 (PC)</v>
          </cell>
          <cell r="C339" t="str">
            <v>m</v>
          </cell>
          <cell r="D339">
            <v>948.77</v>
          </cell>
          <cell r="E339">
            <v>9.49</v>
          </cell>
          <cell r="F339">
            <v>958.5</v>
          </cell>
        </row>
        <row r="340">
          <cell r="A340">
            <v>1733</v>
          </cell>
          <cell r="B340" t="str">
            <v>100D-102 (PC)</v>
          </cell>
          <cell r="C340" t="str">
            <v>m</v>
          </cell>
          <cell r="D340">
            <v>993.38</v>
          </cell>
          <cell r="E340">
            <v>9.93</v>
          </cell>
          <cell r="F340">
            <v>1003.5</v>
          </cell>
        </row>
        <row r="341">
          <cell r="A341">
            <v>1734</v>
          </cell>
          <cell r="B341" t="str">
            <v>100D-201 (PC)</v>
          </cell>
          <cell r="C341" t="str">
            <v>m</v>
          </cell>
          <cell r="D341">
            <v>918.31</v>
          </cell>
          <cell r="E341">
            <v>9.18</v>
          </cell>
          <cell r="F341">
            <v>927.5</v>
          </cell>
        </row>
        <row r="342">
          <cell r="A342">
            <v>1735</v>
          </cell>
          <cell r="B342" t="str">
            <v>100D-301 (PC)</v>
          </cell>
          <cell r="C342" t="str">
            <v>m</v>
          </cell>
          <cell r="D342">
            <v>1091.08</v>
          </cell>
          <cell r="E342">
            <v>10.91</v>
          </cell>
          <cell r="F342">
            <v>1102</v>
          </cell>
        </row>
        <row r="343">
          <cell r="A343">
            <v>1736</v>
          </cell>
          <cell r="B343" t="str">
            <v>100D-401 (PC)</v>
          </cell>
          <cell r="C343" t="str">
            <v>m</v>
          </cell>
          <cell r="D343">
            <v>1208</v>
          </cell>
          <cell r="E343">
            <v>12.08</v>
          </cell>
          <cell r="F343">
            <v>1220</v>
          </cell>
        </row>
        <row r="344">
          <cell r="A344">
            <v>1737</v>
          </cell>
          <cell r="B344" t="str">
            <v>100D-501 (PC)</v>
          </cell>
          <cell r="C344" t="str">
            <v>m</v>
          </cell>
          <cell r="D344">
            <v>129.08000000000001</v>
          </cell>
          <cell r="E344">
            <v>1.29</v>
          </cell>
          <cell r="F344">
            <v>137.5</v>
          </cell>
        </row>
        <row r="345">
          <cell r="A345">
            <v>1738</v>
          </cell>
          <cell r="B345" t="str">
            <v>70D-1910 (PC)</v>
          </cell>
          <cell r="C345" t="str">
            <v>m</v>
          </cell>
          <cell r="D345">
            <v>147.69</v>
          </cell>
          <cell r="E345">
            <v>1.48</v>
          </cell>
          <cell r="F345">
            <v>149</v>
          </cell>
        </row>
        <row r="346">
          <cell r="A346">
            <v>1739</v>
          </cell>
          <cell r="B346" t="str">
            <v>100D-3503A (PC)</v>
          </cell>
          <cell r="C346" t="str">
            <v>m</v>
          </cell>
          <cell r="D346">
            <v>688</v>
          </cell>
          <cell r="E346">
            <v>6.88</v>
          </cell>
          <cell r="F346">
            <v>695</v>
          </cell>
        </row>
        <row r="347">
          <cell r="A347">
            <v>1740</v>
          </cell>
          <cell r="B347" t="str">
            <v>100D-3004A (PC)</v>
          </cell>
          <cell r="C347" t="str">
            <v>m</v>
          </cell>
          <cell r="D347">
            <v>811.69</v>
          </cell>
          <cell r="E347">
            <v>8.1199999999999992</v>
          </cell>
          <cell r="F347">
            <v>820</v>
          </cell>
        </row>
        <row r="348">
          <cell r="A348">
            <v>1741</v>
          </cell>
          <cell r="B348" t="str">
            <v>100D-3207 (PC)</v>
          </cell>
          <cell r="C348" t="str">
            <v>m</v>
          </cell>
          <cell r="D348">
            <v>1057.8499999999999</v>
          </cell>
          <cell r="E348">
            <v>10.58</v>
          </cell>
          <cell r="F348">
            <v>1068.5</v>
          </cell>
        </row>
        <row r="349">
          <cell r="A349">
            <v>1742</v>
          </cell>
          <cell r="B349" t="str">
            <v>100D-3503 (PC)</v>
          </cell>
          <cell r="C349" t="str">
            <v>m</v>
          </cell>
          <cell r="D349">
            <v>750.92</v>
          </cell>
          <cell r="E349">
            <v>7.51</v>
          </cell>
          <cell r="F349">
            <v>758.5</v>
          </cell>
        </row>
        <row r="350">
          <cell r="A350">
            <v>1743</v>
          </cell>
          <cell r="B350" t="str">
            <v>100D-1914 (PC)</v>
          </cell>
          <cell r="C350" t="str">
            <v>m</v>
          </cell>
          <cell r="D350">
            <v>143.85</v>
          </cell>
          <cell r="E350">
            <v>1.44</v>
          </cell>
          <cell r="F350">
            <v>145.5</v>
          </cell>
        </row>
        <row r="351">
          <cell r="A351">
            <v>1744</v>
          </cell>
          <cell r="B351" t="str">
            <v>100D-3203 (PC)</v>
          </cell>
          <cell r="C351" t="str">
            <v>m</v>
          </cell>
          <cell r="D351">
            <v>798.46</v>
          </cell>
          <cell r="E351">
            <v>7.98</v>
          </cell>
          <cell r="F351">
            <v>806.5</v>
          </cell>
        </row>
        <row r="352">
          <cell r="A352">
            <v>1745</v>
          </cell>
          <cell r="B352" t="str">
            <v>70S-1002-1(PC)</v>
          </cell>
          <cell r="C352" t="str">
            <v>m</v>
          </cell>
          <cell r="D352">
            <v>372.77</v>
          </cell>
          <cell r="E352">
            <v>3.73</v>
          </cell>
          <cell r="F352">
            <v>376.5</v>
          </cell>
        </row>
        <row r="353">
          <cell r="A353">
            <v>1746</v>
          </cell>
          <cell r="B353" t="str">
            <v>70S-1102-1 (PC)</v>
          </cell>
          <cell r="C353" t="str">
            <v>m</v>
          </cell>
          <cell r="D353">
            <v>272.77</v>
          </cell>
          <cell r="E353">
            <v>2.73</v>
          </cell>
          <cell r="F353">
            <v>275.5</v>
          </cell>
        </row>
        <row r="354">
          <cell r="A354">
            <v>1747</v>
          </cell>
          <cell r="B354" t="str">
            <v>70S-1202-1(PC)</v>
          </cell>
          <cell r="C354" t="str">
            <v>m</v>
          </cell>
          <cell r="D354">
            <v>272.77</v>
          </cell>
          <cell r="E354">
            <v>2.73</v>
          </cell>
          <cell r="F354">
            <v>275.5</v>
          </cell>
        </row>
        <row r="355">
          <cell r="A355">
            <v>1748</v>
          </cell>
          <cell r="B355" t="str">
            <v>70S-1704A (PC)</v>
          </cell>
          <cell r="C355" t="str">
            <v>m</v>
          </cell>
          <cell r="D355">
            <v>508.46</v>
          </cell>
          <cell r="E355">
            <v>5.08</v>
          </cell>
          <cell r="F355">
            <v>513.5</v>
          </cell>
        </row>
        <row r="356">
          <cell r="A356">
            <v>1749</v>
          </cell>
          <cell r="B356" t="str">
            <v>70S-1402-1 (PC)</v>
          </cell>
          <cell r="C356" t="str">
            <v>m</v>
          </cell>
          <cell r="D356">
            <v>345.38</v>
          </cell>
          <cell r="E356">
            <v>3.45</v>
          </cell>
          <cell r="F356">
            <v>349</v>
          </cell>
        </row>
        <row r="357">
          <cell r="A357">
            <v>1750</v>
          </cell>
          <cell r="B357" t="str">
            <v>70S-1801 (PC)</v>
          </cell>
          <cell r="C357" t="str">
            <v>m</v>
          </cell>
          <cell r="D357">
            <v>324.14999999999998</v>
          </cell>
          <cell r="E357">
            <v>3.24</v>
          </cell>
          <cell r="F357">
            <v>327.5</v>
          </cell>
        </row>
        <row r="358">
          <cell r="A358">
            <v>1751</v>
          </cell>
          <cell r="B358" t="str">
            <v>70S-1101-2 (PC)</v>
          </cell>
          <cell r="C358" t="str">
            <v>m</v>
          </cell>
          <cell r="D358">
            <v>537.54</v>
          </cell>
          <cell r="E358">
            <v>5.38</v>
          </cell>
          <cell r="F358">
            <v>543</v>
          </cell>
        </row>
        <row r="359">
          <cell r="A359">
            <v>1752</v>
          </cell>
          <cell r="B359" t="str">
            <v>70S-1001-1 (PC)</v>
          </cell>
          <cell r="C359" t="str">
            <v>m</v>
          </cell>
          <cell r="D359">
            <v>531.23</v>
          </cell>
          <cell r="E359">
            <v>5.31</v>
          </cell>
          <cell r="F359">
            <v>536.5</v>
          </cell>
        </row>
        <row r="360">
          <cell r="A360">
            <v>1753</v>
          </cell>
          <cell r="B360" t="str">
            <v>70S-1704A (PC)</v>
          </cell>
          <cell r="C360" t="str">
            <v>m</v>
          </cell>
          <cell r="D360">
            <v>508.46</v>
          </cell>
          <cell r="E360">
            <v>5.08</v>
          </cell>
          <cell r="F360">
            <v>513.5</v>
          </cell>
        </row>
        <row r="361">
          <cell r="A361">
            <v>1754</v>
          </cell>
          <cell r="B361" t="str">
            <v>70S-1401-1 (PC)</v>
          </cell>
          <cell r="C361" t="str">
            <v>m</v>
          </cell>
          <cell r="D361">
            <v>353.23</v>
          </cell>
          <cell r="E361">
            <v>3.53</v>
          </cell>
          <cell r="F361">
            <v>357</v>
          </cell>
        </row>
        <row r="362">
          <cell r="A362">
            <v>1755</v>
          </cell>
          <cell r="B362" t="str">
            <v>70S-1201-1 (PC)</v>
          </cell>
          <cell r="C362" t="str">
            <v>m</v>
          </cell>
          <cell r="D362">
            <v>432.15</v>
          </cell>
          <cell r="E362">
            <v>4.32</v>
          </cell>
          <cell r="F362">
            <v>436.5</v>
          </cell>
        </row>
        <row r="363">
          <cell r="A363">
            <v>1756</v>
          </cell>
          <cell r="B363" t="str">
            <v>70S-1604 (PC)</v>
          </cell>
          <cell r="C363" t="str">
            <v>m</v>
          </cell>
          <cell r="D363">
            <v>422.92</v>
          </cell>
          <cell r="E363">
            <v>4.2300000000000004</v>
          </cell>
          <cell r="F363">
            <v>427</v>
          </cell>
        </row>
        <row r="364">
          <cell r="A364">
            <v>1757</v>
          </cell>
          <cell r="B364" t="str">
            <v>70S-1801 (PC)</v>
          </cell>
          <cell r="C364" t="str">
            <v>m</v>
          </cell>
          <cell r="D364">
            <v>324.14999999999998</v>
          </cell>
          <cell r="E364">
            <v>3.24</v>
          </cell>
          <cell r="F364">
            <v>327.5</v>
          </cell>
        </row>
        <row r="365">
          <cell r="A365">
            <v>1758</v>
          </cell>
          <cell r="B365" t="str">
            <v>PT-5157 (PC)</v>
          </cell>
          <cell r="C365" t="str">
            <v>m</v>
          </cell>
          <cell r="D365">
            <v>354.75</v>
          </cell>
          <cell r="E365">
            <v>3.55</v>
          </cell>
          <cell r="F365">
            <v>358.5</v>
          </cell>
        </row>
        <row r="366">
          <cell r="A366">
            <v>1759</v>
          </cell>
          <cell r="B366" t="str">
            <v>PT-5158 (PC)</v>
          </cell>
          <cell r="C366" t="str">
            <v>m</v>
          </cell>
          <cell r="D366">
            <v>264.10000000000002</v>
          </cell>
          <cell r="E366">
            <v>2.64</v>
          </cell>
          <cell r="F366">
            <v>267</v>
          </cell>
        </row>
        <row r="367">
          <cell r="A367">
            <v>1760</v>
          </cell>
          <cell r="B367" t="str">
            <v>PT-5153 (PC)</v>
          </cell>
          <cell r="C367" t="str">
            <v>m</v>
          </cell>
          <cell r="D367">
            <v>106.23</v>
          </cell>
          <cell r="E367">
            <v>1.06</v>
          </cell>
          <cell r="F367">
            <v>107.5</v>
          </cell>
        </row>
        <row r="368">
          <cell r="A368">
            <v>1761</v>
          </cell>
          <cell r="B368" t="str">
            <v>PT-5154 (PC)</v>
          </cell>
          <cell r="C368" t="str">
            <v>m</v>
          </cell>
          <cell r="D368">
            <v>194.75</v>
          </cell>
          <cell r="E368">
            <v>1.95</v>
          </cell>
          <cell r="F368">
            <v>196.5</v>
          </cell>
        </row>
        <row r="369">
          <cell r="A369">
            <v>1762</v>
          </cell>
          <cell r="B369" t="str">
            <v>A-110A (MF)</v>
          </cell>
          <cell r="C369" t="str">
            <v>m</v>
          </cell>
          <cell r="D369">
            <v>257.05</v>
          </cell>
          <cell r="E369">
            <v>2.57</v>
          </cell>
          <cell r="F369">
            <v>259.5</v>
          </cell>
        </row>
        <row r="370">
          <cell r="B370" t="str">
            <v>Accessories</v>
          </cell>
        </row>
        <row r="371">
          <cell r="A371">
            <v>1801</v>
          </cell>
          <cell r="B371" t="str">
            <v>Sliding lock</v>
          </cell>
          <cell r="C371" t="str">
            <v>Nr</v>
          </cell>
          <cell r="D371">
            <v>95</v>
          </cell>
          <cell r="E371">
            <v>0.95</v>
          </cell>
          <cell r="F371">
            <v>96</v>
          </cell>
        </row>
        <row r="372">
          <cell r="A372">
            <v>1802</v>
          </cell>
          <cell r="B372" t="str">
            <v>Roller-70mm</v>
          </cell>
          <cell r="C372" t="str">
            <v>Nr</v>
          </cell>
          <cell r="D372">
            <v>95</v>
          </cell>
          <cell r="E372">
            <v>0.95</v>
          </cell>
          <cell r="F372">
            <v>96</v>
          </cell>
        </row>
        <row r="373">
          <cell r="A373">
            <v>1803</v>
          </cell>
          <cell r="B373" t="str">
            <v>S.T. Screw - 1" No.8</v>
          </cell>
          <cell r="C373" t="str">
            <v>Nr</v>
          </cell>
          <cell r="D373">
            <v>2</v>
          </cell>
          <cell r="E373">
            <v>0.02</v>
          </cell>
          <cell r="F373">
            <v>2</v>
          </cell>
        </row>
        <row r="374">
          <cell r="A374">
            <v>1804</v>
          </cell>
          <cell r="B374" t="str">
            <v>Gasket</v>
          </cell>
          <cell r="C374" t="str">
            <v>m</v>
          </cell>
          <cell r="D374">
            <v>18</v>
          </cell>
          <cell r="E374">
            <v>0.18</v>
          </cell>
          <cell r="F374">
            <v>18.5</v>
          </cell>
        </row>
        <row r="375">
          <cell r="A375">
            <v>1805</v>
          </cell>
          <cell r="B375" t="str">
            <v>Wool felt</v>
          </cell>
          <cell r="C375" t="str">
            <v>m</v>
          </cell>
          <cell r="D375">
            <v>50.5</v>
          </cell>
          <cell r="E375">
            <v>0.51</v>
          </cell>
          <cell r="F375">
            <v>51</v>
          </cell>
        </row>
        <row r="376">
          <cell r="A376">
            <v>1806</v>
          </cell>
          <cell r="B376" t="str">
            <v>Pop rivet 5/32"x1/2"</v>
          </cell>
          <cell r="C376" t="str">
            <v>Nr</v>
          </cell>
          <cell r="D376">
            <v>1.3</v>
          </cell>
          <cell r="E376">
            <v>0.01</v>
          </cell>
          <cell r="F376">
            <v>1.3</v>
          </cell>
        </row>
        <row r="377">
          <cell r="A377">
            <v>1807</v>
          </cell>
          <cell r="B377" t="str">
            <v>Plastic guide</v>
          </cell>
          <cell r="C377" t="str">
            <v>Nr</v>
          </cell>
          <cell r="D377">
            <v>1.7</v>
          </cell>
          <cell r="E377">
            <v>0.02</v>
          </cell>
          <cell r="F377">
            <v>1.75</v>
          </cell>
        </row>
        <row r="378">
          <cell r="A378">
            <v>1808</v>
          </cell>
          <cell r="B378" t="str">
            <v>Cap 3/8" dia.</v>
          </cell>
          <cell r="C378" t="str">
            <v>Nr</v>
          </cell>
          <cell r="D378">
            <v>2.75</v>
          </cell>
          <cell r="E378">
            <v>0.03</v>
          </cell>
          <cell r="F378">
            <v>2.75</v>
          </cell>
        </row>
        <row r="379">
          <cell r="A379">
            <v>1809</v>
          </cell>
          <cell r="B379" t="str">
            <v>S.T. Screw - 2" No.8</v>
          </cell>
          <cell r="C379" t="str">
            <v>Nr</v>
          </cell>
          <cell r="D379">
            <v>35</v>
          </cell>
          <cell r="E379">
            <v>0.35</v>
          </cell>
          <cell r="F379">
            <v>35.5</v>
          </cell>
        </row>
        <row r="380">
          <cell r="A380">
            <v>1810</v>
          </cell>
          <cell r="B380" t="str">
            <v>Casement lock</v>
          </cell>
          <cell r="C380" t="str">
            <v>Nr</v>
          </cell>
          <cell r="D380">
            <v>165</v>
          </cell>
          <cell r="E380">
            <v>1.65</v>
          </cell>
          <cell r="F380">
            <v>166.5</v>
          </cell>
        </row>
        <row r="381">
          <cell r="A381">
            <v>1811</v>
          </cell>
          <cell r="B381" t="str">
            <v>Bar hinges</v>
          </cell>
          <cell r="C381" t="str">
            <v>Pair</v>
          </cell>
          <cell r="D381">
            <v>440</v>
          </cell>
          <cell r="E381">
            <v>4.4000000000000004</v>
          </cell>
          <cell r="F381">
            <v>444.5</v>
          </cell>
        </row>
        <row r="382">
          <cell r="A382">
            <v>1812</v>
          </cell>
          <cell r="B382" t="str">
            <v>Weather strip</v>
          </cell>
          <cell r="C382" t="str">
            <v>m</v>
          </cell>
          <cell r="D382">
            <v>42</v>
          </cell>
          <cell r="E382">
            <v>0.42</v>
          </cell>
          <cell r="F382">
            <v>42.5</v>
          </cell>
        </row>
        <row r="383">
          <cell r="A383">
            <v>1813</v>
          </cell>
          <cell r="B383" t="str">
            <v>Pop rivet 3/16"x1/2"</v>
          </cell>
          <cell r="C383" t="str">
            <v>Nr</v>
          </cell>
          <cell r="D383">
            <v>2.25</v>
          </cell>
          <cell r="E383">
            <v>0.02</v>
          </cell>
          <cell r="F383">
            <v>2.5</v>
          </cell>
        </row>
        <row r="384">
          <cell r="A384">
            <v>1814</v>
          </cell>
          <cell r="B384" t="str">
            <v>S.T. Screw - No.8 x 1/2'</v>
          </cell>
          <cell r="C384" t="str">
            <v>Nr</v>
          </cell>
          <cell r="D384">
            <v>1.5</v>
          </cell>
          <cell r="E384">
            <v>0.02</v>
          </cell>
          <cell r="F384">
            <v>1.5</v>
          </cell>
        </row>
        <row r="385">
          <cell r="A385">
            <v>1815</v>
          </cell>
          <cell r="B385" t="str">
            <v>Door lock</v>
          </cell>
          <cell r="C385" t="str">
            <v>Nr</v>
          </cell>
          <cell r="D385">
            <v>895</v>
          </cell>
          <cell r="E385">
            <v>8.9499999999999993</v>
          </cell>
          <cell r="F385">
            <v>904</v>
          </cell>
        </row>
        <row r="386">
          <cell r="A386">
            <v>1816</v>
          </cell>
          <cell r="B386" t="str">
            <v>Butt hinge</v>
          </cell>
          <cell r="C386" t="str">
            <v>Nr</v>
          </cell>
          <cell r="D386">
            <v>100</v>
          </cell>
          <cell r="E386">
            <v>1</v>
          </cell>
          <cell r="F386">
            <v>101</v>
          </cell>
        </row>
        <row r="387">
          <cell r="A387">
            <v>1817</v>
          </cell>
          <cell r="B387" t="str">
            <v>Door handle with cap nut</v>
          </cell>
          <cell r="C387" t="str">
            <v>Pair</v>
          </cell>
          <cell r="D387">
            <v>1074</v>
          </cell>
          <cell r="E387">
            <v>10.74</v>
          </cell>
          <cell r="F387">
            <v>1085</v>
          </cell>
        </row>
        <row r="388">
          <cell r="A388">
            <v>1818</v>
          </cell>
          <cell r="B388" t="str">
            <v>Rivert (C Sk) 5/32"x1/2"</v>
          </cell>
          <cell r="C388" t="str">
            <v>Nr</v>
          </cell>
          <cell r="D388">
            <v>1.25</v>
          </cell>
          <cell r="E388">
            <v>0.01</v>
          </cell>
          <cell r="F388">
            <v>1.25</v>
          </cell>
        </row>
        <row r="389">
          <cell r="A389">
            <v>1819</v>
          </cell>
          <cell r="B389" t="str">
            <v>Threaded bar with nut</v>
          </cell>
          <cell r="C389" t="str">
            <v>m</v>
          </cell>
          <cell r="D389">
            <v>224</v>
          </cell>
          <cell r="E389">
            <v>2.2400000000000002</v>
          </cell>
          <cell r="F389">
            <v>226.5</v>
          </cell>
        </row>
        <row r="390">
          <cell r="A390">
            <v>1820</v>
          </cell>
          <cell r="B390" t="str">
            <v>Door closer</v>
          </cell>
          <cell r="C390" t="str">
            <v>Nr</v>
          </cell>
          <cell r="D390">
            <v>2250</v>
          </cell>
          <cell r="E390">
            <v>22.5</v>
          </cell>
          <cell r="F390">
            <v>2272.5</v>
          </cell>
        </row>
        <row r="391">
          <cell r="A391">
            <v>1821</v>
          </cell>
          <cell r="B391" t="str">
            <v>Pop rivet 1/8"x1/2"</v>
          </cell>
          <cell r="C391" t="str">
            <v>Nr</v>
          </cell>
          <cell r="D391">
            <v>1.25</v>
          </cell>
          <cell r="E391">
            <v>0.01</v>
          </cell>
          <cell r="F391">
            <v>1.25</v>
          </cell>
        </row>
        <row r="392">
          <cell r="A392">
            <v>1822</v>
          </cell>
          <cell r="B392" t="str">
            <v>G. I. Channel</v>
          </cell>
          <cell r="C392" t="str">
            <v>m</v>
          </cell>
          <cell r="D392">
            <v>168</v>
          </cell>
          <cell r="E392">
            <v>1.68</v>
          </cell>
          <cell r="F392">
            <v>169.5</v>
          </cell>
        </row>
        <row r="393">
          <cell r="A393">
            <v>1823</v>
          </cell>
          <cell r="B393" t="str">
            <v>White board, chip board or melamine board</v>
          </cell>
          <cell r="C393" t="str">
            <v>m2</v>
          </cell>
          <cell r="D393">
            <v>253</v>
          </cell>
          <cell r="E393">
            <v>2.5299999999999998</v>
          </cell>
          <cell r="F393">
            <v>255.5</v>
          </cell>
        </row>
        <row r="394">
          <cell r="B394" t="str">
            <v>Glazier</v>
          </cell>
        </row>
        <row r="395">
          <cell r="A395">
            <v>1901</v>
          </cell>
          <cell r="B395" t="str">
            <v>5mm thick figured glass panes</v>
          </cell>
          <cell r="C395" t="str">
            <v>m2</v>
          </cell>
          <cell r="D395">
            <v>1184</v>
          </cell>
          <cell r="E395">
            <v>11.84</v>
          </cell>
          <cell r="F395">
            <v>1196</v>
          </cell>
        </row>
        <row r="396">
          <cell r="A396">
            <v>1902</v>
          </cell>
          <cell r="B396" t="str">
            <v>3mm thick figured glass panes</v>
          </cell>
          <cell r="C396" t="str">
            <v>m2</v>
          </cell>
          <cell r="D396">
            <v>592</v>
          </cell>
          <cell r="E396">
            <v>5.92</v>
          </cell>
          <cell r="F396">
            <v>598</v>
          </cell>
        </row>
        <row r="397">
          <cell r="A397">
            <v>1903</v>
          </cell>
          <cell r="B397" t="str">
            <v>5mm thick clear glass panes</v>
          </cell>
          <cell r="C397" t="str">
            <v>m2</v>
          </cell>
          <cell r="D397">
            <v>861</v>
          </cell>
          <cell r="E397">
            <v>8.61</v>
          </cell>
          <cell r="F397">
            <v>869.5</v>
          </cell>
        </row>
        <row r="398">
          <cell r="A398">
            <v>1904</v>
          </cell>
          <cell r="B398" t="str">
            <v>3mm thick clear glass panes</v>
          </cell>
          <cell r="C398" t="str">
            <v>m2</v>
          </cell>
          <cell r="D398">
            <v>646</v>
          </cell>
          <cell r="E398">
            <v>6.46</v>
          </cell>
          <cell r="F398">
            <v>652.5</v>
          </cell>
        </row>
        <row r="399">
          <cell r="A399">
            <v>1905</v>
          </cell>
          <cell r="B399" t="str">
            <v>5mm thick tinted glass panes</v>
          </cell>
          <cell r="C399" t="str">
            <v>m2</v>
          </cell>
          <cell r="D399">
            <v>1140</v>
          </cell>
          <cell r="E399">
            <v>11.4</v>
          </cell>
          <cell r="F399">
            <v>1151.5</v>
          </cell>
        </row>
        <row r="400">
          <cell r="A400">
            <v>1906</v>
          </cell>
          <cell r="B400" t="str">
            <v>3mm thick tinted glass panes</v>
          </cell>
          <cell r="C400" t="str">
            <v>m2</v>
          </cell>
          <cell r="D400">
            <v>750</v>
          </cell>
          <cell r="E400">
            <v>7.5</v>
          </cell>
          <cell r="F400">
            <v>757.5</v>
          </cell>
        </row>
        <row r="401">
          <cell r="A401">
            <v>1907</v>
          </cell>
          <cell r="B401" t="str">
            <v>12mmx12mm teak beading</v>
          </cell>
          <cell r="C401" t="str">
            <v>m</v>
          </cell>
          <cell r="D401">
            <v>5</v>
          </cell>
          <cell r="E401">
            <v>0.05</v>
          </cell>
          <cell r="F401">
            <v>5</v>
          </cell>
        </row>
        <row r="402">
          <cell r="B402" t="str">
            <v>Plasterer</v>
          </cell>
          <cell r="F402">
            <v>0</v>
          </cell>
        </row>
        <row r="403">
          <cell r="A403">
            <v>2001</v>
          </cell>
          <cell r="B403" t="str">
            <v>Lime</v>
          </cell>
          <cell r="C403" t="str">
            <v>kg</v>
          </cell>
          <cell r="D403">
            <v>20</v>
          </cell>
          <cell r="E403">
            <v>0.2</v>
          </cell>
          <cell r="F403">
            <v>20.5</v>
          </cell>
        </row>
        <row r="404">
          <cell r="B404" t="str">
            <v>Plumber</v>
          </cell>
        </row>
        <row r="405">
          <cell r="A405">
            <v>2101</v>
          </cell>
          <cell r="B405" t="str">
            <v>12mm (1/2") ball valve - Brass</v>
          </cell>
          <cell r="C405" t="str">
            <v>Nr</v>
          </cell>
          <cell r="D405">
            <v>525</v>
          </cell>
          <cell r="E405">
            <v>5.25</v>
          </cell>
          <cell r="F405">
            <v>530.5</v>
          </cell>
        </row>
        <row r="406">
          <cell r="A406">
            <v>2102</v>
          </cell>
          <cell r="B406" t="str">
            <v>12mm (1/2") ball valve - PVC</v>
          </cell>
          <cell r="C406" t="str">
            <v>Nr</v>
          </cell>
          <cell r="D406">
            <v>95</v>
          </cell>
          <cell r="E406">
            <v>0.95</v>
          </cell>
          <cell r="F406">
            <v>96</v>
          </cell>
        </row>
        <row r="407">
          <cell r="A407">
            <v>2103</v>
          </cell>
          <cell r="B407" t="str">
            <v>20mm (3/4") ball valve - Brass</v>
          </cell>
          <cell r="C407" t="str">
            <v>Nr</v>
          </cell>
          <cell r="D407">
            <v>750</v>
          </cell>
          <cell r="E407">
            <v>7.5</v>
          </cell>
          <cell r="F407">
            <v>757.5</v>
          </cell>
        </row>
        <row r="408">
          <cell r="A408">
            <v>2104</v>
          </cell>
          <cell r="B408" t="str">
            <v>20mm (3/4") ball valve - PVC</v>
          </cell>
          <cell r="C408" t="str">
            <v>Nr</v>
          </cell>
          <cell r="D408">
            <v>140</v>
          </cell>
          <cell r="E408">
            <v>1.4</v>
          </cell>
          <cell r="F408">
            <v>141.5</v>
          </cell>
        </row>
        <row r="409">
          <cell r="A409">
            <v>2105</v>
          </cell>
          <cell r="B409" t="str">
            <v>25mm (1") ball valve - Brass</v>
          </cell>
          <cell r="C409" t="str">
            <v>Nr</v>
          </cell>
          <cell r="D409">
            <v>1100</v>
          </cell>
          <cell r="E409">
            <v>11</v>
          </cell>
          <cell r="F409">
            <v>1111</v>
          </cell>
        </row>
        <row r="410">
          <cell r="A410">
            <v>2106</v>
          </cell>
          <cell r="B410" t="str">
            <v>25mm (1") ball valve - PVC</v>
          </cell>
          <cell r="C410" t="str">
            <v>Nr</v>
          </cell>
          <cell r="D410">
            <v>190</v>
          </cell>
          <cell r="E410">
            <v>1.9</v>
          </cell>
          <cell r="F410">
            <v>192</v>
          </cell>
        </row>
        <row r="411">
          <cell r="A411">
            <v>2107</v>
          </cell>
          <cell r="B411" t="str">
            <v>38mm (1 1/2") ball valve - Brass</v>
          </cell>
          <cell r="C411" t="str">
            <v>Nr</v>
          </cell>
          <cell r="D411">
            <v>1450</v>
          </cell>
          <cell r="E411">
            <v>14.5</v>
          </cell>
          <cell r="F411">
            <v>1464.5</v>
          </cell>
        </row>
        <row r="412">
          <cell r="A412">
            <v>2108</v>
          </cell>
          <cell r="B412" t="str">
            <v>38mm (1 1/2") ball valve - PVC</v>
          </cell>
          <cell r="C412" t="str">
            <v>Nr</v>
          </cell>
          <cell r="D412">
            <v>495</v>
          </cell>
          <cell r="E412">
            <v>4.95</v>
          </cell>
          <cell r="F412">
            <v>500</v>
          </cell>
        </row>
        <row r="413">
          <cell r="A413">
            <v>2109</v>
          </cell>
          <cell r="B413" t="str">
            <v>12mm (1/2") bib tap - Brass</v>
          </cell>
          <cell r="C413" t="str">
            <v>Nr</v>
          </cell>
          <cell r="D413">
            <v>500</v>
          </cell>
          <cell r="E413">
            <v>5</v>
          </cell>
          <cell r="F413">
            <v>505</v>
          </cell>
        </row>
        <row r="414">
          <cell r="A414">
            <v>2110</v>
          </cell>
          <cell r="B414" t="str">
            <v>12mm (1/2") bib tap - Chromium Plated</v>
          </cell>
          <cell r="C414" t="str">
            <v>Nr</v>
          </cell>
          <cell r="D414">
            <v>950</v>
          </cell>
          <cell r="E414">
            <v>9.5</v>
          </cell>
          <cell r="F414">
            <v>959.5</v>
          </cell>
        </row>
        <row r="415">
          <cell r="A415">
            <v>2111</v>
          </cell>
          <cell r="B415" t="str">
            <v>12mm (1/2") bib tap - PVC</v>
          </cell>
          <cell r="C415" t="str">
            <v>Nr</v>
          </cell>
          <cell r="D415">
            <v>90</v>
          </cell>
          <cell r="E415">
            <v>0.9</v>
          </cell>
          <cell r="F415">
            <v>91</v>
          </cell>
        </row>
        <row r="416">
          <cell r="A416">
            <v>2112</v>
          </cell>
          <cell r="B416" t="str">
            <v>12mm (1/2") gate valve - Brass</v>
          </cell>
          <cell r="C416" t="str">
            <v>Nr</v>
          </cell>
          <cell r="D416">
            <v>500</v>
          </cell>
          <cell r="E416">
            <v>5</v>
          </cell>
          <cell r="F416">
            <v>505</v>
          </cell>
        </row>
        <row r="417">
          <cell r="A417">
            <v>2113</v>
          </cell>
          <cell r="B417" t="str">
            <v>12mm (1/2") gate valve - PVC</v>
          </cell>
          <cell r="C417" t="str">
            <v>Nr</v>
          </cell>
          <cell r="D417">
            <v>90</v>
          </cell>
          <cell r="E417">
            <v>0.9</v>
          </cell>
          <cell r="F417">
            <v>91</v>
          </cell>
        </row>
        <row r="418">
          <cell r="A418">
            <v>2114</v>
          </cell>
          <cell r="B418" t="str">
            <v>20mm (3/4") gate valve - Brass</v>
          </cell>
          <cell r="C418" t="str">
            <v>Nr</v>
          </cell>
          <cell r="D418">
            <v>625</v>
          </cell>
          <cell r="E418">
            <v>6.25</v>
          </cell>
          <cell r="F418">
            <v>631.5</v>
          </cell>
        </row>
        <row r="419">
          <cell r="A419">
            <v>2115</v>
          </cell>
          <cell r="B419" t="str">
            <v>20mm (3/4") gate valve - PVC</v>
          </cell>
          <cell r="C419" t="str">
            <v>Nr</v>
          </cell>
          <cell r="D419">
            <v>165</v>
          </cell>
          <cell r="E419">
            <v>1.65</v>
          </cell>
          <cell r="F419">
            <v>166.5</v>
          </cell>
        </row>
        <row r="420">
          <cell r="A420">
            <v>2116</v>
          </cell>
          <cell r="B420" t="str">
            <v>25mm (1") gate valve - Brass</v>
          </cell>
          <cell r="C420" t="str">
            <v>Nr</v>
          </cell>
          <cell r="D420">
            <v>1000</v>
          </cell>
          <cell r="E420">
            <v>10</v>
          </cell>
          <cell r="F420">
            <v>1010</v>
          </cell>
        </row>
        <row r="421">
          <cell r="A421">
            <v>2117</v>
          </cell>
          <cell r="B421" t="str">
            <v>25mm (1") gate valve - PVC</v>
          </cell>
          <cell r="C421" t="str">
            <v>Nr</v>
          </cell>
          <cell r="D421">
            <v>185</v>
          </cell>
          <cell r="E421">
            <v>1.85</v>
          </cell>
          <cell r="F421">
            <v>187</v>
          </cell>
        </row>
        <row r="422">
          <cell r="A422">
            <v>2118</v>
          </cell>
          <cell r="B422" t="str">
            <v>38mm (1 1/2") gate valve - Brass</v>
          </cell>
          <cell r="C422" t="str">
            <v>Nr</v>
          </cell>
          <cell r="D422">
            <v>1500</v>
          </cell>
          <cell r="E422">
            <v>15</v>
          </cell>
          <cell r="F422">
            <v>1515</v>
          </cell>
        </row>
        <row r="423">
          <cell r="A423">
            <v>2119</v>
          </cell>
          <cell r="B423" t="str">
            <v>38mm (1 1/2") gate valve - PVC</v>
          </cell>
          <cell r="C423" t="str">
            <v>Nr</v>
          </cell>
          <cell r="D423">
            <v>410</v>
          </cell>
          <cell r="E423">
            <v>4.0999999999999996</v>
          </cell>
          <cell r="F423">
            <v>414</v>
          </cell>
        </row>
        <row r="424">
          <cell r="A424">
            <v>2120</v>
          </cell>
          <cell r="B424" t="str">
            <v>20mm (1/2") Type 1000 PVC pipes</v>
          </cell>
          <cell r="C424" t="str">
            <v>m</v>
          </cell>
          <cell r="D424">
            <v>45.75</v>
          </cell>
          <cell r="E424">
            <v>0.46</v>
          </cell>
          <cell r="F424">
            <v>46</v>
          </cell>
        </row>
        <row r="425">
          <cell r="A425">
            <v>2121</v>
          </cell>
          <cell r="B425" t="str">
            <v>20mm (1/2") Type 600 PVC pipes</v>
          </cell>
          <cell r="C425" t="str">
            <v>m</v>
          </cell>
          <cell r="D425" t="str">
            <v>…</v>
          </cell>
        </row>
        <row r="426">
          <cell r="A426">
            <v>2122</v>
          </cell>
          <cell r="B426" t="str">
            <v>20mm (1/2") Type 400 PVC pipes</v>
          </cell>
          <cell r="C426" t="str">
            <v>m</v>
          </cell>
          <cell r="D426" t="str">
            <v>….</v>
          </cell>
        </row>
        <row r="427">
          <cell r="A427">
            <v>2123</v>
          </cell>
          <cell r="B427" t="str">
            <v>25mm (3/4") Type 1000 PVC pipes</v>
          </cell>
          <cell r="C427" t="str">
            <v>m</v>
          </cell>
          <cell r="D427">
            <v>100.5</v>
          </cell>
          <cell r="E427">
            <v>1.01</v>
          </cell>
          <cell r="F427">
            <v>101.5</v>
          </cell>
        </row>
        <row r="428">
          <cell r="A428">
            <v>2124</v>
          </cell>
          <cell r="B428" t="str">
            <v>25mm (3/4") Type 600 PVC pipes</v>
          </cell>
          <cell r="C428" t="str">
            <v>m</v>
          </cell>
          <cell r="D428" t="str">
            <v>….</v>
          </cell>
        </row>
        <row r="429">
          <cell r="A429">
            <v>2125</v>
          </cell>
          <cell r="B429" t="str">
            <v>25mm (3/4") Type 400 PVC pipes</v>
          </cell>
          <cell r="C429" t="str">
            <v>m</v>
          </cell>
          <cell r="D429" t="str">
            <v>…..</v>
          </cell>
        </row>
        <row r="430">
          <cell r="A430">
            <v>2126</v>
          </cell>
          <cell r="B430" t="str">
            <v>32mm (1") Type 1000 PVC pipes</v>
          </cell>
          <cell r="C430" t="str">
            <v>m</v>
          </cell>
          <cell r="D430">
            <v>164</v>
          </cell>
          <cell r="E430">
            <v>1.64</v>
          </cell>
          <cell r="F430">
            <v>165.5</v>
          </cell>
        </row>
        <row r="431">
          <cell r="A431">
            <v>2127</v>
          </cell>
          <cell r="B431" t="str">
            <v>32mm (1") Type 600 PVC pipes</v>
          </cell>
          <cell r="C431" t="str">
            <v>m</v>
          </cell>
          <cell r="D431">
            <v>79.5</v>
          </cell>
          <cell r="E431">
            <v>0.8</v>
          </cell>
          <cell r="F431">
            <v>80.5</v>
          </cell>
        </row>
        <row r="432">
          <cell r="A432">
            <v>2128</v>
          </cell>
          <cell r="B432" t="str">
            <v>32mm (1") Type 400 PVC pipes</v>
          </cell>
          <cell r="C432" t="str">
            <v>m</v>
          </cell>
          <cell r="D432" t="str">
            <v>….</v>
          </cell>
        </row>
        <row r="433">
          <cell r="A433">
            <v>2129</v>
          </cell>
          <cell r="B433" t="str">
            <v>40mm (1 1/4") Type 1000 PVC pipes</v>
          </cell>
          <cell r="C433" t="str">
            <v>m</v>
          </cell>
          <cell r="D433">
            <v>221.25</v>
          </cell>
          <cell r="E433">
            <v>2.21</v>
          </cell>
          <cell r="F433">
            <v>223.5</v>
          </cell>
        </row>
        <row r="434">
          <cell r="A434">
            <v>2130</v>
          </cell>
          <cell r="B434" t="str">
            <v>40mm (1 1/4") Type 600 PVC pipes</v>
          </cell>
          <cell r="C434" t="str">
            <v>m</v>
          </cell>
          <cell r="D434">
            <v>155</v>
          </cell>
          <cell r="E434">
            <v>1.55</v>
          </cell>
          <cell r="F434">
            <v>156.5</v>
          </cell>
        </row>
        <row r="435">
          <cell r="A435">
            <v>2131</v>
          </cell>
          <cell r="B435" t="str">
            <v>40mm (1 1/4") Type 400 PVC pipes</v>
          </cell>
          <cell r="C435" t="str">
            <v>m</v>
          </cell>
          <cell r="D435" t="str">
            <v>…..</v>
          </cell>
        </row>
        <row r="436">
          <cell r="A436">
            <v>2132</v>
          </cell>
          <cell r="B436" t="str">
            <v>50mm (1 1/2") Type 1000 PVC pipes</v>
          </cell>
          <cell r="C436" t="str">
            <v>m</v>
          </cell>
          <cell r="D436">
            <v>317.5</v>
          </cell>
          <cell r="E436">
            <v>3.18</v>
          </cell>
          <cell r="F436">
            <v>320.5</v>
          </cell>
        </row>
        <row r="437">
          <cell r="A437">
            <v>2133</v>
          </cell>
          <cell r="B437" t="str">
            <v>50mm (1 1/2") Type 600 PVC pipes</v>
          </cell>
          <cell r="C437" t="str">
            <v>m</v>
          </cell>
          <cell r="D437">
            <v>208.75</v>
          </cell>
          <cell r="E437">
            <v>2.09</v>
          </cell>
          <cell r="F437">
            <v>211</v>
          </cell>
        </row>
        <row r="438">
          <cell r="A438">
            <v>2134</v>
          </cell>
          <cell r="B438" t="str">
            <v>50mm (1 1/2") Type 400 PVC pipes</v>
          </cell>
          <cell r="C438" t="str">
            <v>m</v>
          </cell>
          <cell r="D438">
            <v>146.62</v>
          </cell>
          <cell r="E438">
            <v>1.47</v>
          </cell>
          <cell r="F438">
            <v>148</v>
          </cell>
        </row>
        <row r="439">
          <cell r="A439">
            <v>2135</v>
          </cell>
          <cell r="B439" t="str">
            <v>63mm (2") Type 1000 PVC pipes</v>
          </cell>
          <cell r="C439" t="str">
            <v>m</v>
          </cell>
          <cell r="D439">
            <v>537.5</v>
          </cell>
          <cell r="E439">
            <v>5.38</v>
          </cell>
          <cell r="F439">
            <v>543</v>
          </cell>
        </row>
        <row r="440">
          <cell r="A440">
            <v>2136</v>
          </cell>
          <cell r="B440" t="str">
            <v>63mm (2") Type 600 PVC pipes</v>
          </cell>
          <cell r="C440" t="str">
            <v>m</v>
          </cell>
          <cell r="D440">
            <v>342.5</v>
          </cell>
          <cell r="E440">
            <v>3.43</v>
          </cell>
          <cell r="F440">
            <v>346</v>
          </cell>
        </row>
        <row r="441">
          <cell r="A441">
            <v>2137</v>
          </cell>
          <cell r="B441" t="str">
            <v>63mm (2") Type 400 PVC pipes</v>
          </cell>
          <cell r="C441" t="str">
            <v>m</v>
          </cell>
          <cell r="D441">
            <v>267.5</v>
          </cell>
          <cell r="E441">
            <v>2.68</v>
          </cell>
          <cell r="F441">
            <v>270</v>
          </cell>
        </row>
        <row r="442">
          <cell r="A442">
            <v>2138</v>
          </cell>
          <cell r="B442" t="str">
            <v>75mm (2 1/2") Type 600 PVC pipes</v>
          </cell>
          <cell r="C442" t="str">
            <v>m</v>
          </cell>
          <cell r="D442">
            <v>686.25</v>
          </cell>
          <cell r="E442">
            <v>6.86</v>
          </cell>
          <cell r="F442">
            <v>693</v>
          </cell>
        </row>
        <row r="443">
          <cell r="A443">
            <v>2139</v>
          </cell>
          <cell r="B443" t="str">
            <v>75mm (2 1/2") Type 400 PVC pipes</v>
          </cell>
          <cell r="C443" t="str">
            <v>m</v>
          </cell>
          <cell r="D443">
            <v>435</v>
          </cell>
          <cell r="E443">
            <v>4.3499999999999996</v>
          </cell>
          <cell r="F443">
            <v>439.5</v>
          </cell>
        </row>
        <row r="444">
          <cell r="A444">
            <v>2140</v>
          </cell>
          <cell r="B444" t="str">
            <v>90mm (3") Type 600 PVC pipes</v>
          </cell>
          <cell r="C444" t="str">
            <v>m</v>
          </cell>
          <cell r="D444">
            <v>905.83</v>
          </cell>
          <cell r="E444">
            <v>9.06</v>
          </cell>
          <cell r="F444">
            <v>915</v>
          </cell>
        </row>
        <row r="445">
          <cell r="A445">
            <v>2141</v>
          </cell>
          <cell r="B445" t="str">
            <v>90mm (3") Type 400 PVC pipes</v>
          </cell>
          <cell r="C445" t="str">
            <v>m</v>
          </cell>
          <cell r="D445">
            <v>597.5</v>
          </cell>
          <cell r="E445">
            <v>5.98</v>
          </cell>
          <cell r="F445">
            <v>603.5</v>
          </cell>
        </row>
        <row r="446">
          <cell r="A446">
            <v>2142</v>
          </cell>
          <cell r="B446" t="str">
            <v>110mm (4") Type 600 PVC pipes</v>
          </cell>
          <cell r="C446" t="str">
            <v>m</v>
          </cell>
          <cell r="D446">
            <v>1325</v>
          </cell>
          <cell r="E446">
            <v>13.25</v>
          </cell>
          <cell r="F446">
            <v>1338.5</v>
          </cell>
        </row>
        <row r="447">
          <cell r="A447">
            <v>2143</v>
          </cell>
          <cell r="B447" t="str">
            <v>110mm (4") Type 400 PVC pipes</v>
          </cell>
          <cell r="C447" t="str">
            <v>m</v>
          </cell>
          <cell r="D447">
            <v>629.16</v>
          </cell>
          <cell r="E447">
            <v>6.29</v>
          </cell>
          <cell r="F447">
            <v>635.5</v>
          </cell>
        </row>
        <row r="448">
          <cell r="A448">
            <v>2144</v>
          </cell>
          <cell r="B448" t="str">
            <v>12mm (1/2")  angle valve - Chromium Plated</v>
          </cell>
          <cell r="C448" t="str">
            <v>Nr</v>
          </cell>
          <cell r="D448">
            <v>950</v>
          </cell>
          <cell r="E448">
            <v>9.5</v>
          </cell>
          <cell r="F448">
            <v>959.5</v>
          </cell>
        </row>
        <row r="449">
          <cell r="A449">
            <v>2145</v>
          </cell>
          <cell r="B449" t="str">
            <v xml:space="preserve">12mm (1/2") flexible horse (450mm) </v>
          </cell>
          <cell r="C449" t="str">
            <v>Nr</v>
          </cell>
          <cell r="D449">
            <v>200</v>
          </cell>
          <cell r="E449">
            <v>2</v>
          </cell>
          <cell r="F449">
            <v>202</v>
          </cell>
        </row>
        <row r="450">
          <cell r="B450" t="str">
            <v>Sanitary Fittings</v>
          </cell>
        </row>
        <row r="451">
          <cell r="A451">
            <v>2201</v>
          </cell>
          <cell r="B451" t="str">
            <v>Kitchen sink with single bowl and single drain board</v>
          </cell>
          <cell r="C451" t="str">
            <v>Nr</v>
          </cell>
          <cell r="D451">
            <v>2750</v>
          </cell>
          <cell r="E451">
            <v>27.5</v>
          </cell>
          <cell r="F451">
            <v>2777.5</v>
          </cell>
        </row>
        <row r="452">
          <cell r="A452">
            <v>2202</v>
          </cell>
          <cell r="B452" t="str">
            <v>Kitchen sink with single bowl and double drain board</v>
          </cell>
          <cell r="C452" t="str">
            <v>Nr</v>
          </cell>
          <cell r="D452">
            <v>3150</v>
          </cell>
          <cell r="E452">
            <v>31.5</v>
          </cell>
          <cell r="F452">
            <v>3181.5</v>
          </cell>
        </row>
        <row r="453">
          <cell r="A453">
            <v>2203</v>
          </cell>
          <cell r="B453" t="str">
            <v>Kitchen sink with double bowl and double drain board</v>
          </cell>
          <cell r="C453" t="str">
            <v>Nr</v>
          </cell>
          <cell r="D453">
            <v>5500</v>
          </cell>
          <cell r="E453">
            <v>55</v>
          </cell>
          <cell r="F453">
            <v>5555</v>
          </cell>
        </row>
        <row r="454">
          <cell r="A454">
            <v>2204</v>
          </cell>
          <cell r="B454" t="str">
            <v>Heavy quality chromium plated swan tap</v>
          </cell>
          <cell r="C454" t="str">
            <v>Nr</v>
          </cell>
          <cell r="D454">
            <v>775</v>
          </cell>
          <cell r="E454">
            <v>7.75</v>
          </cell>
          <cell r="F454">
            <v>783</v>
          </cell>
        </row>
        <row r="455">
          <cell r="A455">
            <v>2205</v>
          </cell>
          <cell r="B455" t="str">
            <v>Tee Iron brackets</v>
          </cell>
          <cell r="C455" t="str">
            <v>Nr</v>
          </cell>
          <cell r="D455">
            <v>100</v>
          </cell>
          <cell r="E455">
            <v>1</v>
          </cell>
          <cell r="F455">
            <v>101</v>
          </cell>
        </row>
        <row r="456">
          <cell r="A456">
            <v>2206</v>
          </cell>
          <cell r="B456" t="str">
            <v>Ceramic wash basin (LCL)</v>
          </cell>
          <cell r="C456" t="str">
            <v>Nr</v>
          </cell>
          <cell r="D456">
            <v>2800</v>
          </cell>
          <cell r="E456">
            <v>28</v>
          </cell>
          <cell r="F456">
            <v>2828</v>
          </cell>
        </row>
        <row r="457">
          <cell r="A457">
            <v>2207</v>
          </cell>
          <cell r="B457" t="str">
            <v>Ceramic wash basin - Pedestal (LCL)</v>
          </cell>
          <cell r="C457" t="str">
            <v>Nr</v>
          </cell>
          <cell r="D457">
            <v>3900</v>
          </cell>
          <cell r="E457">
            <v>39</v>
          </cell>
          <cell r="F457">
            <v>3939</v>
          </cell>
        </row>
        <row r="458">
          <cell r="A458">
            <v>2208</v>
          </cell>
          <cell r="B458" t="str">
            <v>Ceramic wash basin - Pedestal (Ideal, American,British)</v>
          </cell>
          <cell r="C458" t="str">
            <v>Nr</v>
          </cell>
          <cell r="D458">
            <v>14000</v>
          </cell>
          <cell r="E458">
            <v>140</v>
          </cell>
          <cell r="F458">
            <v>14140</v>
          </cell>
        </row>
        <row r="459">
          <cell r="A459">
            <v>2209</v>
          </cell>
          <cell r="B459" t="str">
            <v>Heavy quality chromium plated pillar tap</v>
          </cell>
          <cell r="C459" t="str">
            <v>Nr</v>
          </cell>
          <cell r="D459">
            <v>1600</v>
          </cell>
          <cell r="E459">
            <v>16</v>
          </cell>
          <cell r="F459">
            <v>1616</v>
          </cell>
        </row>
        <row r="460">
          <cell r="A460">
            <v>2210</v>
          </cell>
          <cell r="B460" t="str">
            <v>Ceramic squatting pan with trap and ceramic foot rests</v>
          </cell>
          <cell r="C460" t="str">
            <v>Nr</v>
          </cell>
          <cell r="D460">
            <v>549</v>
          </cell>
          <cell r="E460">
            <v>5.49</v>
          </cell>
          <cell r="F460">
            <v>554.5</v>
          </cell>
        </row>
        <row r="461">
          <cell r="A461">
            <v>2211</v>
          </cell>
          <cell r="B461" t="str">
            <v>Square type ceramic squatting pan with foot rests and trap</v>
          </cell>
          <cell r="C461" t="str">
            <v>Nr</v>
          </cell>
          <cell r="D461">
            <v>925</v>
          </cell>
          <cell r="E461">
            <v>9.25</v>
          </cell>
          <cell r="F461">
            <v>934.5</v>
          </cell>
        </row>
        <row r="462">
          <cell r="A462">
            <v>2212</v>
          </cell>
          <cell r="B462" t="str">
            <v>9 liters capacity high level ceramic cistern</v>
          </cell>
          <cell r="C462" t="str">
            <v>Nr</v>
          </cell>
          <cell r="D462">
            <v>2500</v>
          </cell>
          <cell r="E462">
            <v>25</v>
          </cell>
          <cell r="F462">
            <v>2525</v>
          </cell>
        </row>
        <row r="463">
          <cell r="A463">
            <v>2213</v>
          </cell>
          <cell r="B463" t="str">
            <v>9 liters capacity high level PVC cistern</v>
          </cell>
          <cell r="C463" t="str">
            <v>Nr</v>
          </cell>
          <cell r="D463">
            <v>1900</v>
          </cell>
          <cell r="E463">
            <v>19</v>
          </cell>
          <cell r="F463">
            <v>1919</v>
          </cell>
        </row>
        <row r="464">
          <cell r="A464">
            <v>2214</v>
          </cell>
          <cell r="B464" t="str">
            <v>9 liters capacity low level ceramic cistern</v>
          </cell>
          <cell r="C464" t="str">
            <v>Nr</v>
          </cell>
          <cell r="D464">
            <v>2350</v>
          </cell>
          <cell r="E464">
            <v>23.5</v>
          </cell>
          <cell r="F464">
            <v>2373.5</v>
          </cell>
        </row>
        <row r="465">
          <cell r="A465">
            <v>2215</v>
          </cell>
          <cell r="B465" t="str">
            <v>9 liters capacity low level PVC cistern</v>
          </cell>
          <cell r="C465" t="str">
            <v>Nr</v>
          </cell>
          <cell r="D465">
            <v>1900</v>
          </cell>
          <cell r="E465">
            <v>19</v>
          </cell>
          <cell r="F465">
            <v>1919</v>
          </cell>
        </row>
        <row r="466">
          <cell r="A466">
            <v>2216</v>
          </cell>
          <cell r="B466" t="str">
            <v xml:space="preserve">Low level ceramic water closet (LCL) </v>
          </cell>
          <cell r="C466" t="str">
            <v>Nr</v>
          </cell>
          <cell r="D466">
            <v>4500</v>
          </cell>
          <cell r="E466">
            <v>45</v>
          </cell>
          <cell r="F466">
            <v>4545</v>
          </cell>
        </row>
        <row r="467">
          <cell r="A467">
            <v>2217</v>
          </cell>
          <cell r="B467" t="str">
            <v xml:space="preserve">Closed couple ceramic water closet (British) </v>
          </cell>
          <cell r="C467" t="str">
            <v>Nr</v>
          </cell>
          <cell r="D467">
            <v>17500</v>
          </cell>
          <cell r="E467">
            <v>175</v>
          </cell>
          <cell r="F467">
            <v>17675</v>
          </cell>
        </row>
        <row r="468">
          <cell r="A468">
            <v>2218</v>
          </cell>
          <cell r="B468" t="str">
            <v>Bowl type urinal</v>
          </cell>
          <cell r="C468" t="str">
            <v>Nr</v>
          </cell>
          <cell r="D468">
            <v>1380</v>
          </cell>
          <cell r="E468">
            <v>13.8</v>
          </cell>
          <cell r="F468">
            <v>1394</v>
          </cell>
        </row>
        <row r="469">
          <cell r="A469">
            <v>2219</v>
          </cell>
          <cell r="B469" t="str">
            <v>40mm Bottle Trap</v>
          </cell>
          <cell r="C469" t="str">
            <v>Nr</v>
          </cell>
          <cell r="D469">
            <v>213</v>
          </cell>
          <cell r="E469">
            <v>2.13</v>
          </cell>
          <cell r="F469">
            <v>215.13</v>
          </cell>
        </row>
        <row r="470">
          <cell r="A470">
            <v>2220</v>
          </cell>
          <cell r="B470" t="str">
            <v>Bidet shower</v>
          </cell>
          <cell r="C470" t="str">
            <v>Nr</v>
          </cell>
          <cell r="D470">
            <v>1450</v>
          </cell>
          <cell r="E470">
            <v>14.5</v>
          </cell>
          <cell r="F470">
            <v>1464.5</v>
          </cell>
        </row>
        <row r="471">
          <cell r="A471">
            <v>2221</v>
          </cell>
          <cell r="B471" t="str">
            <v>PVC seat cover</v>
          </cell>
          <cell r="C471" t="str">
            <v>Nr</v>
          </cell>
          <cell r="D471">
            <v>500</v>
          </cell>
          <cell r="E471">
            <v>5</v>
          </cell>
          <cell r="F471">
            <v>505</v>
          </cell>
        </row>
        <row r="472">
          <cell r="A472">
            <v>2222</v>
          </cell>
          <cell r="B472" t="str">
            <v>Bathroom mirror</v>
          </cell>
          <cell r="C472" t="str">
            <v>Nr</v>
          </cell>
          <cell r="D472">
            <v>750</v>
          </cell>
          <cell r="E472">
            <v>7.5</v>
          </cell>
          <cell r="F472">
            <v>757.5</v>
          </cell>
        </row>
        <row r="473">
          <cell r="A473">
            <v>2223</v>
          </cell>
          <cell r="B473" t="str">
            <v>Chromium Plated Soap Tray</v>
          </cell>
          <cell r="C473" t="str">
            <v>Nr</v>
          </cell>
          <cell r="D473">
            <v>250</v>
          </cell>
          <cell r="E473">
            <v>2.5</v>
          </cell>
          <cell r="F473">
            <v>252.5</v>
          </cell>
        </row>
        <row r="474">
          <cell r="A474">
            <v>2224</v>
          </cell>
          <cell r="B474" t="str">
            <v>Ceramic Soap Tray</v>
          </cell>
          <cell r="C474" t="str">
            <v>Nr</v>
          </cell>
          <cell r="D474">
            <v>300</v>
          </cell>
          <cell r="E474">
            <v>3</v>
          </cell>
          <cell r="F474">
            <v>303</v>
          </cell>
        </row>
        <row r="475">
          <cell r="A475">
            <v>2225</v>
          </cell>
          <cell r="B475" t="str">
            <v>Chromium Plated Tooth brush holder</v>
          </cell>
          <cell r="C475" t="str">
            <v>Nr</v>
          </cell>
          <cell r="D475">
            <v>350</v>
          </cell>
          <cell r="E475">
            <v>3.5</v>
          </cell>
          <cell r="F475">
            <v>353.5</v>
          </cell>
        </row>
        <row r="476">
          <cell r="A476">
            <v>2226</v>
          </cell>
          <cell r="B476" t="str">
            <v>Ceramic Tooth brush holder</v>
          </cell>
          <cell r="C476" t="str">
            <v>Nr</v>
          </cell>
          <cell r="D476">
            <v>400</v>
          </cell>
          <cell r="E476">
            <v>4</v>
          </cell>
          <cell r="F476">
            <v>404</v>
          </cell>
        </row>
        <row r="477">
          <cell r="A477">
            <v>2227</v>
          </cell>
          <cell r="B477" t="str">
            <v>Chromium Plated 150mm dia. Shower Rose</v>
          </cell>
          <cell r="C477" t="str">
            <v>Nr</v>
          </cell>
          <cell r="D477">
            <v>1095</v>
          </cell>
          <cell r="E477">
            <v>10.95</v>
          </cell>
          <cell r="F477">
            <v>1105.95</v>
          </cell>
        </row>
        <row r="478">
          <cell r="A478">
            <v>2228</v>
          </cell>
          <cell r="B478" t="str">
            <v>PVC 150mm dia. Shower Rose</v>
          </cell>
          <cell r="C478" t="str">
            <v>Nr</v>
          </cell>
          <cell r="D478">
            <v>140</v>
          </cell>
          <cell r="E478">
            <v>1.4</v>
          </cell>
          <cell r="F478">
            <v>141.4</v>
          </cell>
        </row>
        <row r="479">
          <cell r="A479">
            <v>2229</v>
          </cell>
          <cell r="B479" t="str">
            <v>Chromium Plated toilet paper holder</v>
          </cell>
          <cell r="C479" t="str">
            <v>Nr</v>
          </cell>
          <cell r="D479">
            <v>475</v>
          </cell>
          <cell r="E479">
            <v>4.75</v>
          </cell>
          <cell r="F479">
            <v>479.75</v>
          </cell>
        </row>
        <row r="480">
          <cell r="A480">
            <v>2230</v>
          </cell>
          <cell r="B480" t="str">
            <v>Ceremic toilet paper holder</v>
          </cell>
          <cell r="C480" t="str">
            <v>Nr</v>
          </cell>
          <cell r="D480">
            <v>400</v>
          </cell>
          <cell r="E480">
            <v>4</v>
          </cell>
          <cell r="F480">
            <v>404</v>
          </cell>
        </row>
        <row r="481">
          <cell r="A481">
            <v>2231</v>
          </cell>
          <cell r="B481" t="str">
            <v>Chromium Plated towel rail</v>
          </cell>
          <cell r="C481" t="str">
            <v>Nr</v>
          </cell>
          <cell r="D481">
            <v>450</v>
          </cell>
          <cell r="E481">
            <v>4.5</v>
          </cell>
          <cell r="F481">
            <v>454.5</v>
          </cell>
        </row>
        <row r="482">
          <cell r="A482">
            <v>2232</v>
          </cell>
          <cell r="B482" t="str">
            <v>Ceremic towel rail</v>
          </cell>
          <cell r="C482" t="str">
            <v>Nr</v>
          </cell>
          <cell r="D482">
            <v>600</v>
          </cell>
          <cell r="E482">
            <v>6</v>
          </cell>
          <cell r="F482">
            <v>606</v>
          </cell>
        </row>
        <row r="483">
          <cell r="A483">
            <v>2233</v>
          </cell>
          <cell r="B483" t="str">
            <v>Chromium Plated conceal valve for shower</v>
          </cell>
          <cell r="C483" t="str">
            <v>Nr</v>
          </cell>
          <cell r="D483">
            <v>1300</v>
          </cell>
          <cell r="E483">
            <v>13</v>
          </cell>
          <cell r="F483">
            <v>1313</v>
          </cell>
        </row>
        <row r="484">
          <cell r="B484" t="str">
            <v>Roof Plumber</v>
          </cell>
          <cell r="F484">
            <v>0</v>
          </cell>
        </row>
        <row r="485">
          <cell r="A485">
            <v>2301</v>
          </cell>
          <cell r="B485" t="str">
            <v>PVC eave gutters</v>
          </cell>
          <cell r="C485" t="str">
            <v>m</v>
          </cell>
          <cell r="D485">
            <v>137.5</v>
          </cell>
          <cell r="E485">
            <v>1.38</v>
          </cell>
          <cell r="F485">
            <v>139</v>
          </cell>
        </row>
        <row r="486">
          <cell r="A486">
            <v>2302</v>
          </cell>
          <cell r="B486" t="str">
            <v>End cap</v>
          </cell>
          <cell r="C486" t="str">
            <v>Nr</v>
          </cell>
          <cell r="D486">
            <v>72</v>
          </cell>
          <cell r="E486">
            <v>0.72</v>
          </cell>
          <cell r="F486">
            <v>72.5</v>
          </cell>
        </row>
        <row r="487">
          <cell r="A487">
            <v>2303</v>
          </cell>
          <cell r="B487" t="str">
            <v>Joint</v>
          </cell>
          <cell r="C487" t="str">
            <v>m</v>
          </cell>
          <cell r="D487">
            <v>85</v>
          </cell>
          <cell r="E487">
            <v>0.85</v>
          </cell>
          <cell r="F487">
            <v>86</v>
          </cell>
        </row>
        <row r="488">
          <cell r="A488">
            <v>2304</v>
          </cell>
          <cell r="B488" t="str">
            <v>Gutter joiner</v>
          </cell>
          <cell r="C488" t="str">
            <v>Nr</v>
          </cell>
          <cell r="D488">
            <v>95</v>
          </cell>
          <cell r="E488">
            <v>0.95</v>
          </cell>
          <cell r="F488">
            <v>96</v>
          </cell>
        </row>
        <row r="489">
          <cell r="A489">
            <v>2305</v>
          </cell>
          <cell r="B489" t="str">
            <v>Gutter brackets</v>
          </cell>
          <cell r="C489" t="str">
            <v>Nr</v>
          </cell>
          <cell r="D489">
            <v>36</v>
          </cell>
          <cell r="E489">
            <v>0.36</v>
          </cell>
          <cell r="F489">
            <v>36.5</v>
          </cell>
        </row>
        <row r="490">
          <cell r="A490">
            <v>2306</v>
          </cell>
          <cell r="B490" t="str">
            <v>Running head</v>
          </cell>
          <cell r="C490" t="str">
            <v>Nr</v>
          </cell>
          <cell r="D490">
            <v>200</v>
          </cell>
          <cell r="E490">
            <v>2</v>
          </cell>
          <cell r="F490">
            <v>202</v>
          </cell>
        </row>
        <row r="491">
          <cell r="A491">
            <v>2307</v>
          </cell>
          <cell r="B491" t="str">
            <v>87.5 mm dia. PVC down pipes</v>
          </cell>
          <cell r="C491" t="str">
            <v>m</v>
          </cell>
          <cell r="D491">
            <v>137</v>
          </cell>
          <cell r="E491">
            <v>1.37</v>
          </cell>
          <cell r="F491">
            <v>138.5</v>
          </cell>
        </row>
        <row r="492">
          <cell r="A492">
            <v>2308</v>
          </cell>
          <cell r="B492" t="str">
            <v>87.5 mm dia. PVC socket</v>
          </cell>
          <cell r="C492" t="str">
            <v>Nr</v>
          </cell>
          <cell r="D492">
            <v>62</v>
          </cell>
          <cell r="E492">
            <v>0.62</v>
          </cell>
          <cell r="F492">
            <v>62.5</v>
          </cell>
        </row>
        <row r="493">
          <cell r="A493">
            <v>2309</v>
          </cell>
          <cell r="B493" t="str">
            <v>87.5 mm dia. PVC elbows</v>
          </cell>
          <cell r="C493" t="str">
            <v>Nr</v>
          </cell>
          <cell r="D493">
            <v>90</v>
          </cell>
          <cell r="E493">
            <v>0.9</v>
          </cell>
          <cell r="F493">
            <v>91</v>
          </cell>
        </row>
        <row r="494">
          <cell r="A494">
            <v>2310</v>
          </cell>
          <cell r="B494" t="str">
            <v>Clips</v>
          </cell>
          <cell r="C494" t="str">
            <v>Nr</v>
          </cell>
          <cell r="D494">
            <v>18</v>
          </cell>
          <cell r="E494">
            <v>0.18</v>
          </cell>
          <cell r="F494">
            <v>18</v>
          </cell>
        </row>
        <row r="495">
          <cell r="A495">
            <v>2311</v>
          </cell>
          <cell r="B495" t="str">
            <v>200mmx200x87.5mm PVC gutter box</v>
          </cell>
          <cell r="C495" t="str">
            <v>Nr</v>
          </cell>
          <cell r="D495">
            <v>250</v>
          </cell>
          <cell r="E495">
            <v>2.5</v>
          </cell>
          <cell r="F495">
            <v>252.5</v>
          </cell>
        </row>
        <row r="496">
          <cell r="A496">
            <v>2312</v>
          </cell>
          <cell r="B496" t="str">
            <v>Zink Aluminium rainwater eave gutters</v>
          </cell>
          <cell r="C496" t="str">
            <v>m</v>
          </cell>
          <cell r="D496">
            <v>525</v>
          </cell>
          <cell r="E496">
            <v>5.25</v>
          </cell>
          <cell r="F496">
            <v>530.5</v>
          </cell>
        </row>
        <row r="497">
          <cell r="A497">
            <v>2313</v>
          </cell>
          <cell r="B497" t="str">
            <v>Stop end and plate</v>
          </cell>
          <cell r="C497" t="str">
            <v>Nr</v>
          </cell>
          <cell r="D497">
            <v>140</v>
          </cell>
          <cell r="E497">
            <v>1.4</v>
          </cell>
          <cell r="F497">
            <v>141.5</v>
          </cell>
        </row>
        <row r="498">
          <cell r="A498">
            <v>2314</v>
          </cell>
          <cell r="B498" t="str">
            <v>Steel brackets</v>
          </cell>
          <cell r="C498" t="str">
            <v>Nr</v>
          </cell>
          <cell r="D498">
            <v>50</v>
          </cell>
          <cell r="E498">
            <v>0.5</v>
          </cell>
          <cell r="F498">
            <v>50.5</v>
          </cell>
        </row>
        <row r="499">
          <cell r="A499">
            <v>2315</v>
          </cell>
          <cell r="B499" t="str">
            <v>100x100mm Zn-alum down pipes</v>
          </cell>
          <cell r="C499" t="str">
            <v>m</v>
          </cell>
          <cell r="D499">
            <v>524</v>
          </cell>
          <cell r="E499">
            <v>5.24</v>
          </cell>
          <cell r="F499">
            <v>529</v>
          </cell>
        </row>
        <row r="500">
          <cell r="A500">
            <v>2316</v>
          </cell>
          <cell r="B500" t="str">
            <v>150x150mm Zn-alum down pipes</v>
          </cell>
          <cell r="C500" t="str">
            <v>m</v>
          </cell>
          <cell r="D500">
            <v>838</v>
          </cell>
          <cell r="E500">
            <v>8.3800000000000008</v>
          </cell>
          <cell r="F500">
            <v>846.5</v>
          </cell>
        </row>
        <row r="501">
          <cell r="A501">
            <v>2317</v>
          </cell>
          <cell r="B501" t="str">
            <v>Nozzles</v>
          </cell>
          <cell r="C501" t="str">
            <v>Nr</v>
          </cell>
          <cell r="D501">
            <v>754</v>
          </cell>
          <cell r="E501">
            <v>7.54</v>
          </cell>
          <cell r="F501">
            <v>761.5</v>
          </cell>
        </row>
        <row r="502">
          <cell r="A502">
            <v>2318</v>
          </cell>
          <cell r="B502" t="str">
            <v>Offsets</v>
          </cell>
          <cell r="C502" t="str">
            <v>Nr</v>
          </cell>
          <cell r="D502">
            <v>1635</v>
          </cell>
          <cell r="E502">
            <v>16.350000000000001</v>
          </cell>
          <cell r="F502">
            <v>1651.5</v>
          </cell>
        </row>
        <row r="503">
          <cell r="A503">
            <v>2319</v>
          </cell>
          <cell r="B503" t="str">
            <v>Shoes</v>
          </cell>
          <cell r="C503" t="str">
            <v>Nr</v>
          </cell>
          <cell r="D503">
            <v>624</v>
          </cell>
          <cell r="E503">
            <v>6.24</v>
          </cell>
          <cell r="F503">
            <v>630</v>
          </cell>
        </row>
        <row r="504">
          <cell r="A504">
            <v>2320</v>
          </cell>
          <cell r="B504" t="str">
            <v>Clips</v>
          </cell>
          <cell r="C504" t="str">
            <v>Nr</v>
          </cell>
          <cell r="D504">
            <v>9</v>
          </cell>
          <cell r="E504">
            <v>0.09</v>
          </cell>
          <cell r="F504">
            <v>9</v>
          </cell>
        </row>
        <row r="505">
          <cell r="A505">
            <v>2321</v>
          </cell>
          <cell r="B505" t="str">
            <v>300x300mm gutter boxes in Zink Alum color coated metal sheets</v>
          </cell>
          <cell r="C505" t="str">
            <v>Nr</v>
          </cell>
          <cell r="D505">
            <v>1142</v>
          </cell>
          <cell r="E505">
            <v>11.42</v>
          </cell>
          <cell r="F505">
            <v>1153.5</v>
          </cell>
        </row>
        <row r="506">
          <cell r="A506">
            <v>2322</v>
          </cell>
          <cell r="B506" t="str">
            <v>25x25mm N/A Alluminium</v>
          </cell>
          <cell r="C506" t="str">
            <v>m</v>
          </cell>
          <cell r="E506">
            <v>0</v>
          </cell>
        </row>
        <row r="507">
          <cell r="B507" t="str">
            <v>Tinker</v>
          </cell>
        </row>
        <row r="508">
          <cell r="A508">
            <v>2401</v>
          </cell>
          <cell r="B508" t="str">
            <v>18 B.W.G. sheets</v>
          </cell>
          <cell r="C508" t="str">
            <v>m2</v>
          </cell>
          <cell r="D508">
            <v>1177</v>
          </cell>
          <cell r="E508">
            <v>11.77</v>
          </cell>
          <cell r="F508">
            <v>1189</v>
          </cell>
        </row>
        <row r="509">
          <cell r="B509" t="str">
            <v>Drain Layer</v>
          </cell>
        </row>
        <row r="510">
          <cell r="A510">
            <v>2501</v>
          </cell>
          <cell r="B510" t="str">
            <v>Copper wire dome</v>
          </cell>
          <cell r="C510" t="str">
            <v>Nr</v>
          </cell>
          <cell r="D510">
            <v>250</v>
          </cell>
          <cell r="E510">
            <v>2.5</v>
          </cell>
          <cell r="F510">
            <v>252.5</v>
          </cell>
        </row>
        <row r="511">
          <cell r="A511">
            <v>2502</v>
          </cell>
          <cell r="B511" t="str">
            <v>Drainage gully and grate  PVC</v>
          </cell>
          <cell r="C511" t="str">
            <v>Nr</v>
          </cell>
          <cell r="D511">
            <v>130</v>
          </cell>
          <cell r="E511">
            <v>1.3</v>
          </cell>
          <cell r="F511">
            <v>131.5</v>
          </cell>
        </row>
        <row r="512">
          <cell r="A512">
            <v>2503</v>
          </cell>
          <cell r="B512" t="str">
            <v>40mm 4-way PVC floor trap</v>
          </cell>
          <cell r="C512" t="str">
            <v>Nr</v>
          </cell>
          <cell r="D512">
            <v>300</v>
          </cell>
          <cell r="E512">
            <v>3</v>
          </cell>
          <cell r="F512">
            <v>303</v>
          </cell>
        </row>
        <row r="513">
          <cell r="B513" t="str">
            <v>Painter</v>
          </cell>
        </row>
        <row r="514">
          <cell r="A514">
            <v>2601</v>
          </cell>
          <cell r="B514" t="str">
            <v>Lime</v>
          </cell>
          <cell r="C514" t="str">
            <v>kg</v>
          </cell>
          <cell r="D514">
            <v>20</v>
          </cell>
          <cell r="E514">
            <v>0.2</v>
          </cell>
          <cell r="F514">
            <v>20.5</v>
          </cell>
        </row>
        <row r="515">
          <cell r="A515">
            <v>2602</v>
          </cell>
          <cell r="B515" t="str">
            <v>Glue</v>
          </cell>
          <cell r="C515" t="str">
            <v>kg</v>
          </cell>
          <cell r="D515">
            <v>80</v>
          </cell>
          <cell r="E515">
            <v>0.8</v>
          </cell>
          <cell r="F515">
            <v>81</v>
          </cell>
        </row>
        <row r="516">
          <cell r="A516">
            <v>2603</v>
          </cell>
          <cell r="B516" t="str">
            <v>Yellow ochre</v>
          </cell>
          <cell r="C516" t="str">
            <v>kg</v>
          </cell>
          <cell r="D516">
            <v>60</v>
          </cell>
          <cell r="E516">
            <v>0.6</v>
          </cell>
          <cell r="F516">
            <v>60.5</v>
          </cell>
        </row>
        <row r="517">
          <cell r="A517">
            <v>2604</v>
          </cell>
          <cell r="B517" t="str">
            <v>Snowcem</v>
          </cell>
          <cell r="C517" t="str">
            <v>kg</v>
          </cell>
          <cell r="D517">
            <v>80</v>
          </cell>
          <cell r="E517">
            <v>0.8</v>
          </cell>
          <cell r="F517">
            <v>81</v>
          </cell>
        </row>
        <row r="518">
          <cell r="A518">
            <v>2605</v>
          </cell>
          <cell r="B518" t="str">
            <v>Wall primer</v>
          </cell>
          <cell r="C518" t="str">
            <v>l</v>
          </cell>
          <cell r="D518">
            <v>320</v>
          </cell>
          <cell r="E518">
            <v>3.2</v>
          </cell>
          <cell r="F518">
            <v>323</v>
          </cell>
        </row>
        <row r="519">
          <cell r="A519">
            <v>2606</v>
          </cell>
          <cell r="B519" t="str">
            <v>Emulsion paint</v>
          </cell>
          <cell r="C519" t="str">
            <v>l</v>
          </cell>
          <cell r="D519">
            <v>645</v>
          </cell>
          <cell r="E519">
            <v>6.45</v>
          </cell>
          <cell r="F519">
            <v>651.5</v>
          </cell>
        </row>
        <row r="520">
          <cell r="A520">
            <v>2607</v>
          </cell>
          <cell r="B520" t="str">
            <v>Weather shield paint</v>
          </cell>
          <cell r="C520" t="str">
            <v>l</v>
          </cell>
          <cell r="D520">
            <v>838</v>
          </cell>
          <cell r="E520">
            <v>8.3800000000000008</v>
          </cell>
          <cell r="F520">
            <v>846.5</v>
          </cell>
        </row>
        <row r="521">
          <cell r="A521">
            <v>2608</v>
          </cell>
          <cell r="B521" t="str">
            <v>Enamel paint</v>
          </cell>
          <cell r="C521" t="str">
            <v>l</v>
          </cell>
          <cell r="D521">
            <v>740</v>
          </cell>
          <cell r="E521">
            <v>7.4</v>
          </cell>
          <cell r="F521">
            <v>747.5</v>
          </cell>
        </row>
        <row r="522">
          <cell r="A522">
            <v>2609</v>
          </cell>
          <cell r="B522" t="str">
            <v>Anticorrosive paint</v>
          </cell>
          <cell r="C522" t="str">
            <v>l</v>
          </cell>
          <cell r="D522">
            <v>510</v>
          </cell>
          <cell r="E522">
            <v>5.0999999999999996</v>
          </cell>
          <cell r="F522">
            <v>515</v>
          </cell>
        </row>
        <row r="523">
          <cell r="A523">
            <v>2610</v>
          </cell>
          <cell r="B523" t="str">
            <v>Floor paint</v>
          </cell>
          <cell r="C523" t="str">
            <v>l</v>
          </cell>
          <cell r="D523">
            <v>780</v>
          </cell>
          <cell r="E523">
            <v>7.8</v>
          </cell>
          <cell r="F523">
            <v>788</v>
          </cell>
        </row>
        <row r="524">
          <cell r="A524">
            <v>2611</v>
          </cell>
          <cell r="B524" t="str">
            <v>Floor polish</v>
          </cell>
          <cell r="C524" t="str">
            <v>kg</v>
          </cell>
          <cell r="D524">
            <v>650</v>
          </cell>
          <cell r="E524">
            <v>6.5</v>
          </cell>
          <cell r="F524">
            <v>656.5</v>
          </cell>
        </row>
        <row r="525">
          <cell r="A525">
            <v>2612</v>
          </cell>
          <cell r="B525" t="str">
            <v>Wood primer</v>
          </cell>
          <cell r="C525" t="str">
            <v>l</v>
          </cell>
          <cell r="D525">
            <v>720</v>
          </cell>
          <cell r="E525">
            <v>7.2</v>
          </cell>
          <cell r="F525">
            <v>727</v>
          </cell>
        </row>
        <row r="526">
          <cell r="A526">
            <v>2613</v>
          </cell>
          <cell r="B526" t="str">
            <v>Polyurethane varnish</v>
          </cell>
          <cell r="C526" t="str">
            <v>l</v>
          </cell>
          <cell r="D526">
            <v>750</v>
          </cell>
          <cell r="E526">
            <v>7.5</v>
          </cell>
          <cell r="F526">
            <v>757.5</v>
          </cell>
        </row>
        <row r="527">
          <cell r="B527" t="str">
            <v>Electrical Installation</v>
          </cell>
        </row>
        <row r="528">
          <cell r="A528">
            <v>2701</v>
          </cell>
          <cell r="B528" t="str">
            <v>1/1.13 mm Cu\PVC\PVC ( 1 sq.mm)</v>
          </cell>
          <cell r="C528" t="str">
            <v>m</v>
          </cell>
          <cell r="D528">
            <v>18.5</v>
          </cell>
          <cell r="E528">
            <v>0.19</v>
          </cell>
          <cell r="F528">
            <v>18.5</v>
          </cell>
        </row>
        <row r="529">
          <cell r="A529">
            <v>2702</v>
          </cell>
          <cell r="B529" t="str">
            <v>7/0.67 mm Cu\PVC ( 2.5 sq.mm)</v>
          </cell>
          <cell r="C529" t="str">
            <v>m</v>
          </cell>
          <cell r="D529">
            <v>61.5</v>
          </cell>
          <cell r="E529">
            <v>0.62</v>
          </cell>
          <cell r="F529">
            <v>62</v>
          </cell>
        </row>
        <row r="530">
          <cell r="A530">
            <v>2703</v>
          </cell>
          <cell r="B530" t="str">
            <v>7/0.53mm Cu\PVC\PVC(T)-1.5sq.mm</v>
          </cell>
          <cell r="C530" t="str">
            <v>m</v>
          </cell>
          <cell r="D530">
            <v>79.2</v>
          </cell>
          <cell r="E530">
            <v>0.79</v>
          </cell>
          <cell r="F530">
            <v>80</v>
          </cell>
        </row>
        <row r="531">
          <cell r="A531">
            <v>2704</v>
          </cell>
          <cell r="B531" t="str">
            <v>7/0.67mm Cu\PVC\PVC(T)-2.5sq.mm</v>
          </cell>
          <cell r="C531" t="str">
            <v>m</v>
          </cell>
          <cell r="D531">
            <v>115.4</v>
          </cell>
          <cell r="E531">
            <v>1.1499999999999999</v>
          </cell>
          <cell r="F531">
            <v>116.5</v>
          </cell>
        </row>
        <row r="532">
          <cell r="A532">
            <v>2705</v>
          </cell>
          <cell r="B532" t="str">
            <v>7/1.04mm Cu\PVC\PVC(T)-6sq.mm</v>
          </cell>
          <cell r="C532" t="str">
            <v>m</v>
          </cell>
          <cell r="D532">
            <v>249.3</v>
          </cell>
          <cell r="E532">
            <v>2.4900000000000002</v>
          </cell>
          <cell r="F532">
            <v>252</v>
          </cell>
        </row>
        <row r="533">
          <cell r="A533">
            <v>2706</v>
          </cell>
          <cell r="B533" t="str">
            <v>Holder</v>
          </cell>
          <cell r="C533" t="str">
            <v>Nr</v>
          </cell>
          <cell r="D533">
            <v>55</v>
          </cell>
          <cell r="E533">
            <v>0.55000000000000004</v>
          </cell>
          <cell r="F533">
            <v>55.5</v>
          </cell>
        </row>
        <row r="534">
          <cell r="A534">
            <v>2707</v>
          </cell>
          <cell r="B534" t="str">
            <v>Sun box</v>
          </cell>
          <cell r="C534" t="str">
            <v>Nr</v>
          </cell>
          <cell r="D534">
            <v>35</v>
          </cell>
          <cell r="E534">
            <v>0.35</v>
          </cell>
          <cell r="F534">
            <v>35.5</v>
          </cell>
        </row>
        <row r="535">
          <cell r="A535">
            <v>2708</v>
          </cell>
          <cell r="B535" t="str">
            <v>Switch</v>
          </cell>
          <cell r="C535" t="str">
            <v>Nr</v>
          </cell>
          <cell r="D535">
            <v>35</v>
          </cell>
          <cell r="E535">
            <v>0.35</v>
          </cell>
          <cell r="F535">
            <v>35.5</v>
          </cell>
        </row>
        <row r="536">
          <cell r="A536">
            <v>2709</v>
          </cell>
          <cell r="B536" t="str">
            <v>PVC conduit 1"</v>
          </cell>
          <cell r="C536" t="str">
            <v>m</v>
          </cell>
          <cell r="D536">
            <v>33.5</v>
          </cell>
          <cell r="E536">
            <v>0.34</v>
          </cell>
          <cell r="F536">
            <v>34</v>
          </cell>
        </row>
        <row r="537">
          <cell r="A537">
            <v>2710</v>
          </cell>
          <cell r="B537" t="str">
            <v>5A socket outlet</v>
          </cell>
          <cell r="C537" t="str">
            <v>Nr</v>
          </cell>
          <cell r="D537">
            <v>312</v>
          </cell>
          <cell r="E537">
            <v>3.12</v>
          </cell>
          <cell r="F537">
            <v>315</v>
          </cell>
        </row>
        <row r="538">
          <cell r="A538">
            <v>2711</v>
          </cell>
          <cell r="B538" t="str">
            <v>13A socket outlet</v>
          </cell>
          <cell r="C538" t="str">
            <v>Nr</v>
          </cell>
          <cell r="D538">
            <v>330</v>
          </cell>
          <cell r="E538">
            <v>3.3</v>
          </cell>
          <cell r="F538">
            <v>333.5</v>
          </cell>
        </row>
        <row r="539">
          <cell r="A539">
            <v>2712</v>
          </cell>
          <cell r="B539" t="str">
            <v>15A socket outlet</v>
          </cell>
          <cell r="C539" t="str">
            <v>Nr</v>
          </cell>
          <cell r="D539">
            <v>383</v>
          </cell>
          <cell r="E539">
            <v>3.83</v>
          </cell>
          <cell r="F539">
            <v>387</v>
          </cell>
        </row>
        <row r="540">
          <cell r="A540">
            <v>2713</v>
          </cell>
          <cell r="B540" t="str">
            <v>Ceiling rose</v>
          </cell>
          <cell r="C540" t="str">
            <v>Nr</v>
          </cell>
          <cell r="D540">
            <v>85</v>
          </cell>
          <cell r="E540">
            <v>0.85</v>
          </cell>
          <cell r="F540">
            <v>86</v>
          </cell>
        </row>
        <row r="541">
          <cell r="A541">
            <v>2714</v>
          </cell>
          <cell r="B541" t="str">
            <v>Round block</v>
          </cell>
          <cell r="C541" t="str">
            <v>Nr</v>
          </cell>
          <cell r="D541">
            <v>15</v>
          </cell>
          <cell r="E541">
            <v>0.15</v>
          </cell>
          <cell r="F541">
            <v>15</v>
          </cell>
        </row>
        <row r="542">
          <cell r="A542">
            <v>2715</v>
          </cell>
          <cell r="B542" t="str">
            <v>Fan hook</v>
          </cell>
          <cell r="C542" t="str">
            <v>Nr</v>
          </cell>
          <cell r="D542">
            <v>175</v>
          </cell>
          <cell r="E542">
            <v>1.75</v>
          </cell>
          <cell r="F542">
            <v>177</v>
          </cell>
        </row>
        <row r="543">
          <cell r="A543">
            <v>2716</v>
          </cell>
          <cell r="B543" t="str">
            <v>Pendent lamp</v>
          </cell>
          <cell r="C543" t="str">
            <v>Nr</v>
          </cell>
          <cell r="D543">
            <v>60</v>
          </cell>
          <cell r="E543">
            <v>0.6</v>
          </cell>
          <cell r="F543">
            <v>60.5</v>
          </cell>
        </row>
        <row r="544">
          <cell r="A544">
            <v>2717</v>
          </cell>
          <cell r="B544" t="str">
            <v>Weather proofed angle batten lamp</v>
          </cell>
          <cell r="C544" t="str">
            <v>Nr</v>
          </cell>
          <cell r="D544">
            <v>1350</v>
          </cell>
          <cell r="E544">
            <v>13.5</v>
          </cell>
          <cell r="F544">
            <v>1363.5</v>
          </cell>
        </row>
        <row r="545">
          <cell r="A545">
            <v>2718</v>
          </cell>
          <cell r="B545" t="str">
            <v>Wall bracket lamp</v>
          </cell>
          <cell r="C545" t="str">
            <v>Nr</v>
          </cell>
          <cell r="D545">
            <v>850</v>
          </cell>
          <cell r="E545">
            <v>8.5</v>
          </cell>
          <cell r="F545">
            <v>858.5</v>
          </cell>
        </row>
        <row r="546">
          <cell r="A546">
            <v>2719</v>
          </cell>
          <cell r="B546" t="str">
            <v>1200 mm, 40W single fluorescent lamp</v>
          </cell>
          <cell r="C546" t="str">
            <v>Nr</v>
          </cell>
          <cell r="D546">
            <v>975</v>
          </cell>
          <cell r="E546">
            <v>9.75</v>
          </cell>
          <cell r="F546">
            <v>985</v>
          </cell>
        </row>
        <row r="547">
          <cell r="A547">
            <v>2720</v>
          </cell>
          <cell r="B547" t="str">
            <v>1200 mm, 40W double fluorescent lamp</v>
          </cell>
          <cell r="C547" t="str">
            <v>Nr</v>
          </cell>
          <cell r="D547">
            <v>1900</v>
          </cell>
          <cell r="E547">
            <v>19</v>
          </cell>
          <cell r="F547">
            <v>1919</v>
          </cell>
        </row>
        <row r="548">
          <cell r="A548">
            <v>2721</v>
          </cell>
          <cell r="B548" t="str">
            <v>600x300 mm fully parabolic reflective type fluorescent lamp (2 tube)</v>
          </cell>
          <cell r="C548" t="str">
            <v>Nr</v>
          </cell>
          <cell r="D548">
            <v>3450</v>
          </cell>
          <cell r="E548">
            <v>34.5</v>
          </cell>
          <cell r="F548">
            <v>3484.5</v>
          </cell>
        </row>
        <row r="549">
          <cell r="A549">
            <v>2722</v>
          </cell>
          <cell r="B549" t="str">
            <v>1200x300 mm fully parabolic reflective type fluorescent lamp (2 tube)</v>
          </cell>
          <cell r="C549" t="str">
            <v>Nr</v>
          </cell>
          <cell r="D549">
            <v>3850</v>
          </cell>
          <cell r="E549">
            <v>38.5</v>
          </cell>
          <cell r="F549">
            <v>3888.5</v>
          </cell>
        </row>
        <row r="550">
          <cell r="A550">
            <v>2723</v>
          </cell>
          <cell r="B550" t="str">
            <v>600x600 mm fully parabolic reflective type fluorescent lamp (3 tube)</v>
          </cell>
          <cell r="C550" t="str">
            <v>Nr</v>
          </cell>
          <cell r="D550">
            <v>3950</v>
          </cell>
          <cell r="E550">
            <v>39.5</v>
          </cell>
          <cell r="F550">
            <v>3989.5</v>
          </cell>
        </row>
        <row r="551">
          <cell r="A551">
            <v>2724</v>
          </cell>
          <cell r="B551" t="str">
            <v>1200x600 mm fully parabolic reflective type fluorescent lamp (3 tube)</v>
          </cell>
          <cell r="C551" t="str">
            <v>Nr</v>
          </cell>
          <cell r="D551">
            <v>4750</v>
          </cell>
          <cell r="E551">
            <v>47.5</v>
          </cell>
          <cell r="F551">
            <v>4797.5</v>
          </cell>
        </row>
        <row r="552">
          <cell r="A552">
            <v>2725</v>
          </cell>
          <cell r="B552" t="str">
            <v>1200mm sweep ceiling fan</v>
          </cell>
          <cell r="C552" t="str">
            <v>Nr</v>
          </cell>
          <cell r="D552">
            <v>5950</v>
          </cell>
          <cell r="E552">
            <v>59.5</v>
          </cell>
          <cell r="F552">
            <v>6009.5</v>
          </cell>
        </row>
        <row r="553">
          <cell r="A553">
            <v>2726</v>
          </cell>
          <cell r="B553" t="str">
            <v>300x300mm exhaust fan</v>
          </cell>
          <cell r="C553" t="str">
            <v>Nr</v>
          </cell>
          <cell r="D553">
            <v>4250</v>
          </cell>
          <cell r="E553">
            <v>42.5</v>
          </cell>
          <cell r="F553">
            <v>4292.5</v>
          </cell>
        </row>
        <row r="554">
          <cell r="A554">
            <v>2727</v>
          </cell>
          <cell r="B554" t="str">
            <v>Wall mounted fan</v>
          </cell>
          <cell r="C554" t="str">
            <v>Nr</v>
          </cell>
          <cell r="D554">
            <v>6250</v>
          </cell>
          <cell r="E554">
            <v>62.5</v>
          </cell>
          <cell r="F554">
            <v>6312.5</v>
          </cell>
        </row>
        <row r="555">
          <cell r="A555">
            <v>2728</v>
          </cell>
          <cell r="B555" t="str">
            <v>40 Amp single phase main switch</v>
          </cell>
          <cell r="C555" t="str">
            <v>Nr</v>
          </cell>
          <cell r="D555">
            <v>736</v>
          </cell>
          <cell r="E555">
            <v>7.36</v>
          </cell>
          <cell r="F555">
            <v>743.5</v>
          </cell>
        </row>
        <row r="556">
          <cell r="A556">
            <v>2729</v>
          </cell>
          <cell r="B556" t="str">
            <v>60 Amp single phase main switch</v>
          </cell>
          <cell r="C556" t="str">
            <v>Nr</v>
          </cell>
          <cell r="D556">
            <v>871</v>
          </cell>
          <cell r="E556">
            <v>8.7100000000000009</v>
          </cell>
          <cell r="F556">
            <v>879.5</v>
          </cell>
        </row>
        <row r="557">
          <cell r="A557">
            <v>2730</v>
          </cell>
          <cell r="B557" t="str">
            <v>40 Amp Circuit breaker</v>
          </cell>
          <cell r="C557" t="str">
            <v>Nr</v>
          </cell>
          <cell r="D557">
            <v>395</v>
          </cell>
          <cell r="E557">
            <v>3.95</v>
          </cell>
          <cell r="F557">
            <v>399</v>
          </cell>
        </row>
        <row r="558">
          <cell r="A558">
            <v>2731</v>
          </cell>
          <cell r="B558" t="str">
            <v>Distribution board with cover</v>
          </cell>
          <cell r="C558" t="str">
            <v>Nr</v>
          </cell>
          <cell r="D558">
            <v>1450</v>
          </cell>
          <cell r="E558">
            <v>14.5</v>
          </cell>
          <cell r="F558">
            <v>1464.5</v>
          </cell>
        </row>
        <row r="559">
          <cell r="A559">
            <v>2732</v>
          </cell>
          <cell r="B559" t="str">
            <v>40 Amp three phase main switch</v>
          </cell>
          <cell r="C559" t="str">
            <v>Nr</v>
          </cell>
          <cell r="D559">
            <v>1224</v>
          </cell>
          <cell r="E559">
            <v>12.24</v>
          </cell>
          <cell r="F559">
            <v>1236</v>
          </cell>
        </row>
        <row r="560">
          <cell r="A560">
            <v>2733</v>
          </cell>
          <cell r="B560" t="str">
            <v>60 Amp three phase main switch</v>
          </cell>
          <cell r="C560" t="str">
            <v>Nr</v>
          </cell>
          <cell r="D560">
            <v>1324</v>
          </cell>
          <cell r="E560">
            <v>13.24</v>
          </cell>
          <cell r="F560">
            <v>1337</v>
          </cell>
        </row>
        <row r="561">
          <cell r="A561">
            <v>2734</v>
          </cell>
          <cell r="B561" t="str">
            <v>40 Amp single phase RCCB (Trip switch)</v>
          </cell>
          <cell r="C561" t="str">
            <v>Nr</v>
          </cell>
          <cell r="D561">
            <v>2677</v>
          </cell>
          <cell r="E561">
            <v>26.77</v>
          </cell>
          <cell r="F561">
            <v>2704</v>
          </cell>
        </row>
        <row r="562">
          <cell r="A562">
            <v>2735</v>
          </cell>
          <cell r="B562" t="str">
            <v>60 Amp single phase RCCB (Trip switch)</v>
          </cell>
          <cell r="C562" t="str">
            <v>Nr</v>
          </cell>
          <cell r="D562">
            <v>2712</v>
          </cell>
          <cell r="E562">
            <v>27.12</v>
          </cell>
          <cell r="F562">
            <v>2739</v>
          </cell>
        </row>
        <row r="563">
          <cell r="A563">
            <v>2736</v>
          </cell>
          <cell r="B563" t="str">
            <v>40 Amp three phase RCCB (Trip switch)</v>
          </cell>
          <cell r="C563" t="str">
            <v>Nr</v>
          </cell>
          <cell r="D563">
            <v>3706</v>
          </cell>
          <cell r="E563">
            <v>37.06</v>
          </cell>
          <cell r="F563">
            <v>3743</v>
          </cell>
        </row>
        <row r="564">
          <cell r="A564">
            <v>2737</v>
          </cell>
          <cell r="B564" t="str">
            <v>60 Amp three phase RCCB (Trip switch)</v>
          </cell>
          <cell r="C564" t="str">
            <v>Nr</v>
          </cell>
          <cell r="D564">
            <v>3912</v>
          </cell>
          <cell r="E564">
            <v>39.119999999999997</v>
          </cell>
          <cell r="F564">
            <v>3951</v>
          </cell>
        </row>
        <row r="565">
          <cell r="A565">
            <v>2738</v>
          </cell>
          <cell r="B565" t="str">
            <v>Electrical Bell</v>
          </cell>
          <cell r="C565" t="str">
            <v>Nr</v>
          </cell>
          <cell r="D565">
            <v>500</v>
          </cell>
          <cell r="E565">
            <v>5</v>
          </cell>
          <cell r="F565">
            <v>505</v>
          </cell>
        </row>
        <row r="566">
          <cell r="A566">
            <v>2739</v>
          </cell>
          <cell r="B566" t="str">
            <v>GI earth electrode</v>
          </cell>
          <cell r="C566" t="str">
            <v>Nr</v>
          </cell>
          <cell r="D566">
            <v>990</v>
          </cell>
          <cell r="E566">
            <v>9.9</v>
          </cell>
          <cell r="F566">
            <v>1000</v>
          </cell>
        </row>
        <row r="567">
          <cell r="A567">
            <v>2740</v>
          </cell>
          <cell r="B567" t="str">
            <v>50x50x5.8 mm angle Iron</v>
          </cell>
          <cell r="C567" t="str">
            <v>m</v>
          </cell>
          <cell r="D567">
            <v>467</v>
          </cell>
          <cell r="E567">
            <v>4.67</v>
          </cell>
          <cell r="F567">
            <v>471.5</v>
          </cell>
        </row>
        <row r="568">
          <cell r="A568">
            <v>2741</v>
          </cell>
          <cell r="B568" t="str">
            <v>60 Amp Circuit breaker</v>
          </cell>
          <cell r="C568" t="str">
            <v>Nr</v>
          </cell>
          <cell r="D568">
            <v>395</v>
          </cell>
          <cell r="E568">
            <v>3.95</v>
          </cell>
          <cell r="F568">
            <v>399</v>
          </cell>
        </row>
        <row r="569">
          <cell r="B569" t="str">
            <v>Miscellaneous Work</v>
          </cell>
        </row>
        <row r="570">
          <cell r="A570">
            <v>2801</v>
          </cell>
          <cell r="B570" t="str">
            <v>PVC coated gauge 10 chain link mesh</v>
          </cell>
          <cell r="C570" t="str">
            <v>m2</v>
          </cell>
          <cell r="D570">
            <v>538</v>
          </cell>
          <cell r="E570">
            <v>5.38</v>
          </cell>
          <cell r="F570">
            <v>543.5</v>
          </cell>
        </row>
        <row r="571">
          <cell r="A571">
            <v>2802</v>
          </cell>
          <cell r="B571" t="str">
            <v>2" GI pipes (2mm)</v>
          </cell>
          <cell r="C571" t="str">
            <v>m</v>
          </cell>
          <cell r="D571">
            <v>542</v>
          </cell>
          <cell r="E571">
            <v>5.42</v>
          </cell>
          <cell r="F571">
            <v>547.5</v>
          </cell>
        </row>
        <row r="572">
          <cell r="A572">
            <v>2803</v>
          </cell>
          <cell r="B572" t="str">
            <v>1 1/2" GI pipes (2mm)</v>
          </cell>
          <cell r="C572" t="str">
            <v>m</v>
          </cell>
          <cell r="D572">
            <v>459</v>
          </cell>
          <cell r="E572">
            <v>4.59</v>
          </cell>
          <cell r="F572">
            <v>463.5</v>
          </cell>
        </row>
        <row r="573">
          <cell r="A573">
            <v>2804</v>
          </cell>
          <cell r="B573" t="str">
            <v>1"  GI pipes (2mm)</v>
          </cell>
          <cell r="C573" t="str">
            <v>m</v>
          </cell>
          <cell r="D573">
            <v>367</v>
          </cell>
          <cell r="E573">
            <v>3.67</v>
          </cell>
          <cell r="F573">
            <v>370.5</v>
          </cell>
        </row>
        <row r="574">
          <cell r="A574">
            <v>2805</v>
          </cell>
          <cell r="B574" t="str">
            <v>Barbed wire</v>
          </cell>
          <cell r="C574" t="str">
            <v>m</v>
          </cell>
          <cell r="D574">
            <v>25.35</v>
          </cell>
          <cell r="E574">
            <v>0.25</v>
          </cell>
          <cell r="F574">
            <v>25.6</v>
          </cell>
        </row>
        <row r="575">
          <cell r="A575">
            <v>2806</v>
          </cell>
          <cell r="B575" t="str">
            <v>Hooks and washers</v>
          </cell>
          <cell r="C575" t="str">
            <v>Nr</v>
          </cell>
          <cell r="D575">
            <v>10.5</v>
          </cell>
          <cell r="E575">
            <v>0.11</v>
          </cell>
          <cell r="F575">
            <v>10.5</v>
          </cell>
        </row>
        <row r="576">
          <cell r="A576">
            <v>2807</v>
          </cell>
          <cell r="B576" t="str">
            <v>Concrete fence posts 6'-0"</v>
          </cell>
          <cell r="C576" t="str">
            <v>Nr</v>
          </cell>
          <cell r="D576">
            <v>930</v>
          </cell>
          <cell r="E576">
            <v>9.3000000000000007</v>
          </cell>
          <cell r="F576">
            <v>939.5</v>
          </cell>
        </row>
        <row r="577">
          <cell r="A577">
            <v>2808</v>
          </cell>
          <cell r="B577" t="str">
            <v>Concrete fence posts 6'-6"</v>
          </cell>
          <cell r="C577" t="str">
            <v>Nr</v>
          </cell>
          <cell r="D577">
            <v>1010</v>
          </cell>
          <cell r="E577">
            <v>10.1</v>
          </cell>
          <cell r="F577">
            <v>1020</v>
          </cell>
        </row>
        <row r="578">
          <cell r="A578">
            <v>2809</v>
          </cell>
          <cell r="B578" t="str">
            <v>Concrete fence posts 7'-0"</v>
          </cell>
          <cell r="C578" t="str">
            <v>Nr</v>
          </cell>
          <cell r="D578">
            <v>1100</v>
          </cell>
          <cell r="E578">
            <v>11</v>
          </cell>
          <cell r="F578">
            <v>1111</v>
          </cell>
        </row>
        <row r="579">
          <cell r="A579">
            <v>2810</v>
          </cell>
          <cell r="B579" t="str">
            <v>Concrete fence posts 8'-0"</v>
          </cell>
          <cell r="C579" t="str">
            <v>Nr</v>
          </cell>
          <cell r="D579">
            <v>1240</v>
          </cell>
          <cell r="E579">
            <v>12.4</v>
          </cell>
          <cell r="F579">
            <v>1252.5</v>
          </cell>
        </row>
        <row r="580">
          <cell r="A580">
            <v>2811</v>
          </cell>
          <cell r="B580" t="str">
            <v>Concrete fence posts 10'-6"</v>
          </cell>
          <cell r="C580" t="str">
            <v>Nr</v>
          </cell>
          <cell r="D580">
            <v>2850</v>
          </cell>
          <cell r="E580">
            <v>28.5</v>
          </cell>
          <cell r="F580">
            <v>2878.5</v>
          </cell>
        </row>
        <row r="581">
          <cell r="A581">
            <v>2812</v>
          </cell>
          <cell r="B581" t="str">
            <v>Concrete fence supporting posts for corner posts</v>
          </cell>
          <cell r="C581" t="str">
            <v>Nr</v>
          </cell>
          <cell r="D581">
            <v>1250</v>
          </cell>
          <cell r="E581">
            <v>12.5</v>
          </cell>
          <cell r="F581">
            <v>1262.5</v>
          </cell>
        </row>
        <row r="582">
          <cell r="A582">
            <v>2813</v>
          </cell>
          <cell r="B582" t="str">
            <v>2" GI pipes (1.8mm)</v>
          </cell>
          <cell r="C582" t="str">
            <v>m</v>
          </cell>
          <cell r="D582">
            <v>492</v>
          </cell>
          <cell r="E582">
            <v>4.92</v>
          </cell>
          <cell r="F582">
            <v>497</v>
          </cell>
        </row>
        <row r="583">
          <cell r="A583">
            <v>2814</v>
          </cell>
          <cell r="B583" t="str">
            <v>2" GI pipes (1.5mm)</v>
          </cell>
          <cell r="C583" t="str">
            <v>m</v>
          </cell>
          <cell r="D583">
            <v>459</v>
          </cell>
          <cell r="E583">
            <v>4.59</v>
          </cell>
          <cell r="F583">
            <v>463.5</v>
          </cell>
        </row>
        <row r="584">
          <cell r="A584">
            <v>2815</v>
          </cell>
          <cell r="B584" t="str">
            <v>1 1/2" GI pipes (1.8mm)</v>
          </cell>
          <cell r="C584" t="str">
            <v>m</v>
          </cell>
          <cell r="D584">
            <v>434</v>
          </cell>
          <cell r="E584">
            <v>4.34</v>
          </cell>
          <cell r="F584">
            <v>438.5</v>
          </cell>
        </row>
        <row r="585">
          <cell r="A585">
            <v>2816</v>
          </cell>
          <cell r="B585" t="str">
            <v>1 1/2" GI pipes (1.5mm)</v>
          </cell>
          <cell r="C585" t="str">
            <v>m</v>
          </cell>
          <cell r="D585">
            <v>359</v>
          </cell>
          <cell r="E585">
            <v>3.59</v>
          </cell>
          <cell r="F585">
            <v>362.5</v>
          </cell>
        </row>
        <row r="586">
          <cell r="A586">
            <v>2817</v>
          </cell>
          <cell r="B586" t="str">
            <v>1 1/4" GI pipes (2mm)</v>
          </cell>
          <cell r="C586" t="str">
            <v>m</v>
          </cell>
          <cell r="D586">
            <v>409</v>
          </cell>
          <cell r="E586">
            <v>4.09</v>
          </cell>
          <cell r="F586">
            <v>413</v>
          </cell>
        </row>
        <row r="587">
          <cell r="A587">
            <v>2818</v>
          </cell>
          <cell r="B587" t="str">
            <v>1 1/4" GI pipes (1.8mm)</v>
          </cell>
          <cell r="C587" t="str">
            <v>m</v>
          </cell>
          <cell r="D587">
            <v>359</v>
          </cell>
          <cell r="E587">
            <v>3.59</v>
          </cell>
          <cell r="F587">
            <v>362.5</v>
          </cell>
        </row>
        <row r="588">
          <cell r="A588">
            <v>2819</v>
          </cell>
          <cell r="B588" t="str">
            <v>1 1/4" GI pipes (1.5mm)</v>
          </cell>
          <cell r="C588" t="str">
            <v>m</v>
          </cell>
          <cell r="D588">
            <v>267</v>
          </cell>
          <cell r="E588">
            <v>2.67</v>
          </cell>
          <cell r="F588">
            <v>269.5</v>
          </cell>
        </row>
        <row r="589">
          <cell r="A589">
            <v>2820</v>
          </cell>
          <cell r="B589" t="str">
            <v>1 " GI pipes (1.8mm)</v>
          </cell>
          <cell r="C589" t="str">
            <v>m</v>
          </cell>
          <cell r="D589">
            <v>292</v>
          </cell>
          <cell r="E589">
            <v>2.92</v>
          </cell>
          <cell r="F589">
            <v>295</v>
          </cell>
        </row>
        <row r="590">
          <cell r="A590">
            <v>2821</v>
          </cell>
          <cell r="B590" t="str">
            <v>1 " GI pipes (1.5mm)</v>
          </cell>
          <cell r="C590" t="str">
            <v>m</v>
          </cell>
          <cell r="D590">
            <v>234</v>
          </cell>
          <cell r="E590">
            <v>2.34</v>
          </cell>
          <cell r="F590">
            <v>236.5</v>
          </cell>
        </row>
        <row r="591">
          <cell r="A591">
            <v>2822</v>
          </cell>
          <cell r="B591" t="str">
            <v>12mm thick MDF board</v>
          </cell>
          <cell r="C591" t="str">
            <v>m2</v>
          </cell>
          <cell r="D591">
            <v>718</v>
          </cell>
          <cell r="E591">
            <v>7.18</v>
          </cell>
          <cell r="F591">
            <v>725</v>
          </cell>
        </row>
        <row r="592">
          <cell r="A592">
            <v>2823</v>
          </cell>
          <cell r="B592" t="str">
            <v>12 mm thick regiform board</v>
          </cell>
          <cell r="C592" t="str">
            <v>m2</v>
          </cell>
          <cell r="D592">
            <v>131</v>
          </cell>
          <cell r="E592">
            <v>1.31</v>
          </cell>
          <cell r="F592">
            <v>132.5</v>
          </cell>
        </row>
        <row r="593">
          <cell r="A593">
            <v>2824</v>
          </cell>
          <cell r="B593" t="str">
            <v>Velvet cloth</v>
          </cell>
          <cell r="C593" t="str">
            <v>m2</v>
          </cell>
          <cell r="D593">
            <v>150</v>
          </cell>
          <cell r="E593">
            <v>1.5</v>
          </cell>
          <cell r="F593">
            <v>151.5</v>
          </cell>
        </row>
        <row r="597">
          <cell r="A597" t="str">
            <v xml:space="preserve">Prepared and Checked by B.S.R. Preparation Committee </v>
          </cell>
        </row>
        <row r="599">
          <cell r="A599" t="str">
            <v>1.</v>
          </cell>
          <cell r="B599" t="str">
            <v>Chairman : Eng. P. S. S. Vithanage, Chief Engineer (Buildings)</v>
          </cell>
        </row>
        <row r="601">
          <cell r="A601" t="str">
            <v>2</v>
          </cell>
          <cell r="B601" t="str">
            <v>Member 1 : Eng H.M Jayarathna, Chief Engineer (Buildings)</v>
          </cell>
        </row>
        <row r="603">
          <cell r="A603" t="str">
            <v>3</v>
          </cell>
          <cell r="B603" t="str">
            <v>Member 2 : Eng H.M Dharmarathna, Engineer</v>
          </cell>
        </row>
        <row r="605">
          <cell r="A605" t="str">
            <v>4</v>
          </cell>
          <cell r="B605" t="str">
            <v>Member 3 : Eng. D.M.R. Dhanapala, Engineer</v>
          </cell>
        </row>
        <row r="609">
          <cell r="A609" t="str">
            <v>Recommended by :</v>
          </cell>
        </row>
        <row r="612">
          <cell r="B612" t="str">
            <v>……………………………….</v>
          </cell>
        </row>
        <row r="613">
          <cell r="B613" t="str">
            <v>Eng. D. M. K. S. Dissanayake</v>
          </cell>
        </row>
        <row r="614">
          <cell r="B614" t="str">
            <v>Provincial Director ( Buildings)</v>
          </cell>
        </row>
        <row r="616">
          <cell r="A616" t="str">
            <v>Approved by:</v>
          </cell>
        </row>
        <row r="619">
          <cell r="B619" t="str">
            <v>………………………………….</v>
          </cell>
        </row>
        <row r="620">
          <cell r="B620" t="str">
            <v>Eng. M.L.C. Fernandu</v>
          </cell>
        </row>
        <row r="621">
          <cell r="B621" t="str">
            <v>Deputy Chief Secretary ( Engineering Services)</v>
          </cell>
        </row>
      </sheetData>
      <sheetData sheetId="4"/>
      <sheetData sheetId="5"/>
      <sheetData sheetId="6"/>
      <sheetData sheetId="7"/>
      <sheetData sheetId="8"/>
      <sheetData sheetId="9" refreshError="1"/>
      <sheetData sheetId="1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1"/>
      <sheetName val="B-2"/>
      <sheetName val="S M B-2"/>
      <sheetName val="B-3"/>
      <sheetName val="S M B-3"/>
      <sheetName val="B-4 PS"/>
      <sheetName val="Main summary"/>
      <sheetName val="TDS Summary"/>
      <sheetName val="TDS Finishes"/>
      <sheetName val="Querry"/>
      <sheetName val="B-3.2 EB"/>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_page"/>
      <sheetName val="sec__1"/>
      <sheetName val="sec__2"/>
      <sheetName val="sec__3"/>
      <sheetName val="Scope_of_works"/>
      <sheetName val="sec__4"/>
      <sheetName val="Valuation"/>
      <sheetName val="sec__5"/>
      <sheetName val="RateBrkdwn_"/>
      <sheetName val="Measurement_sheet"/>
      <sheetName val="sec__6"/>
      <sheetName val="sec_7"/>
      <sheetName val="sec_8"/>
      <sheetName val="sec__9"/>
      <sheetName val="cover page"/>
      <sheetName val="sec. 1"/>
      <sheetName val="sec. 2"/>
      <sheetName val="sec. 3"/>
      <sheetName val="Scope of works"/>
      <sheetName val="sec. 4"/>
      <sheetName val="sec. 5"/>
      <sheetName val="RateBrkdwn "/>
      <sheetName val="Measurement sheet"/>
      <sheetName val="sec. 6"/>
      <sheetName val="sec.7"/>
      <sheetName val="sec.8"/>
      <sheetName val="sec. 9"/>
      <sheetName val="cover_page1"/>
      <sheetName val="sec__11"/>
      <sheetName val="sec__21"/>
      <sheetName val="sec__31"/>
      <sheetName val="Scope_of_works1"/>
      <sheetName val="sec__41"/>
      <sheetName val="sec__51"/>
      <sheetName val="RateBrkdwn_1"/>
      <sheetName val="Measurement_sheet1"/>
      <sheetName val="sec__61"/>
      <sheetName val="sec_71"/>
      <sheetName val="sec_81"/>
      <sheetName val="sec__91"/>
      <sheetName val="cover_page2"/>
      <sheetName val="sec__12"/>
      <sheetName val="sec__22"/>
      <sheetName val="sec__32"/>
      <sheetName val="Scope_of_works2"/>
      <sheetName val="sec__42"/>
      <sheetName val="sec__52"/>
      <sheetName val="RateBrkdwn_2"/>
      <sheetName val="Measurement_sheet2"/>
      <sheetName val="sec__62"/>
      <sheetName val="sec_72"/>
      <sheetName val="sec_82"/>
      <sheetName val="sec__92"/>
      <sheetName val="cover_page3"/>
      <sheetName val="sec__13"/>
      <sheetName val="sec__23"/>
      <sheetName val="sec__33"/>
      <sheetName val="Scope_of_works3"/>
      <sheetName val="sec__43"/>
      <sheetName val="sec__53"/>
      <sheetName val="RateBrkdwn_3"/>
      <sheetName val="Measurement_sheet3"/>
      <sheetName val="sec__63"/>
      <sheetName val="sec_73"/>
      <sheetName val="sec_83"/>
      <sheetName val="sec__93"/>
    </sheetNames>
    <sheetDataSet>
      <sheetData sheetId="0">
        <row r="13">
          <cell r="E13" t="str">
            <v>&lt;Package No&gt; - &lt;Package Name&gt;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ow r="13">
          <cell r="E13" t="str">
            <v>&lt;Package No&gt; - &lt;Package Name&gt;</v>
          </cell>
        </row>
        <row r="24">
          <cell r="E24" t="str">
            <v>VARIATION No. ???</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row r="13">
          <cell r="E13" t="str">
            <v>&lt;Package No&gt; - &lt;Package Name&gt;</v>
          </cell>
        </row>
      </sheetData>
      <sheetData sheetId="28"/>
      <sheetData sheetId="29"/>
      <sheetData sheetId="30"/>
      <sheetData sheetId="31"/>
      <sheetData sheetId="32"/>
      <sheetData sheetId="33"/>
      <sheetData sheetId="34"/>
      <sheetData sheetId="35"/>
      <sheetData sheetId="36"/>
      <sheetData sheetId="37"/>
      <sheetData sheetId="38"/>
      <sheetData sheetId="39"/>
      <sheetData sheetId="40">
        <row r="13">
          <cell r="E13" t="str">
            <v>&lt;Package No&gt; - &lt;Package Name&gt;</v>
          </cell>
        </row>
      </sheetData>
      <sheetData sheetId="41"/>
      <sheetData sheetId="42"/>
      <sheetData sheetId="43"/>
      <sheetData sheetId="44"/>
      <sheetData sheetId="45"/>
      <sheetData sheetId="46"/>
      <sheetData sheetId="47"/>
      <sheetData sheetId="48"/>
      <sheetData sheetId="49"/>
      <sheetData sheetId="50"/>
      <sheetData sheetId="51"/>
      <sheetData sheetId="52"/>
      <sheetData sheetId="53">
        <row r="13">
          <cell r="E13" t="str">
            <v>&lt;Package No&gt; - &lt;Package Name&gt;</v>
          </cell>
        </row>
      </sheetData>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gama"/>
      <sheetName val="Tangalle_hos"/>
      <sheetName val="Tangalle hos"/>
      <sheetName val="Tangalle_hos1"/>
      <sheetName val="Tangalle_hos2"/>
      <sheetName val="Tangalle_hos3"/>
    </sheetNames>
    <sheetDataSet>
      <sheetData sheetId="0"/>
      <sheetData sheetId="1"/>
      <sheetData sheetId="2" refreshError="1"/>
      <sheetData sheetId="3"/>
      <sheetData sheetId="4"/>
      <sheetData sheetId="5"/>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1"/>
      <sheetName val="B-2"/>
      <sheetName val="S M B-2"/>
      <sheetName val="B-3"/>
      <sheetName val="S M B-3"/>
      <sheetName val="B-4 PS"/>
      <sheetName val="Main summary"/>
      <sheetName val="TDS Summary"/>
      <sheetName val="TDS Finishes"/>
      <sheetName val="Querry"/>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1 "/>
      <sheetName val="B-2"/>
      <sheetName val="B 3"/>
      <sheetName val="B-4"/>
      <sheetName val="S M B-4"/>
      <sheetName val="B-5"/>
      <sheetName val="S M B-5"/>
      <sheetName val="B-6"/>
      <sheetName val="B-7"/>
      <sheetName val="B-8"/>
      <sheetName val="DWS"/>
      <sheetName val="Main sum"/>
      <sheetName val="S M B-5 (2)"/>
      <sheetName val="Add 01"/>
      <sheetName val="Main sum 2"/>
      <sheetName val="Main sum 3"/>
      <sheetName val="B-3"/>
    </sheetNames>
    <sheetDataSet>
      <sheetData sheetId="0"/>
      <sheetData sheetId="1" refreshError="1">
        <row r="1">
          <cell r="J1">
            <v>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RONT (2)"/>
      <sheetName val="fRONT"/>
      <sheetName val="B-1"/>
      <sheetName val="B-2"/>
      <sheetName val="B-3.1 EB"/>
      <sheetName val="3.1 Sum"/>
      <sheetName val="B-3.2 EB"/>
      <sheetName val="B-3.2 Sum"/>
      <sheetName val="B-4.1 NB"/>
      <sheetName val="B-4.1 Sum"/>
      <sheetName val="B-4.2 NB"/>
      <sheetName val="B-4.2 Sum"/>
      <sheetName val="5-PS"/>
      <sheetName val="Main summary"/>
      <sheetName val="floor area"/>
      <sheetName val="ratio"/>
      <sheetName val="Sheet1"/>
      <sheetName val="FitOutConfCentr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E SUMMARY"/>
      <sheetName val="Sub Contractor"/>
      <sheetName val="Material"/>
      <sheetName val="Excavation R"/>
      <sheetName val="Readymix Concrete R"/>
      <sheetName val="In Situ Concrete R"/>
      <sheetName val="Reinforcement R"/>
      <sheetName val="Masonary R"/>
      <sheetName val="Waterproofing R"/>
      <sheetName val="Floor Finishing R"/>
      <sheetName val="Plastering R"/>
      <sheetName val="Painting R"/>
      <sheetName val="Vanity R"/>
      <sheetName val="Interiar R"/>
    </sheetNames>
    <sheetDataSet>
      <sheetData sheetId="0"/>
      <sheetData sheetId="1"/>
      <sheetData sheetId="2">
        <row r="555">
          <cell r="D555"/>
        </row>
        <row r="705">
          <cell r="D705"/>
        </row>
        <row r="767">
          <cell r="D767"/>
        </row>
        <row r="779">
          <cell r="D779"/>
        </row>
        <row r="792">
          <cell r="D792"/>
        </row>
        <row r="812">
          <cell r="D812"/>
        </row>
        <row r="844">
          <cell r="D844"/>
        </row>
      </sheetData>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ca"/>
      <sheetName val="masnry"/>
      <sheetName val="concrete"/>
      <sheetName val="front"/>
      <sheetName val="summary"/>
      <sheetName val="Main sum"/>
      <sheetName val="General"/>
      <sheetName val="General (2)"/>
      <sheetName val="floring"/>
      <sheetName val="waterprof"/>
      <sheetName val="plastering"/>
      <sheetName val="tile"/>
      <sheetName val="paint"/>
      <sheetName val="plumbing"/>
      <sheetName val="plumbing "/>
      <sheetName val="prelims"/>
      <sheetName val="RBD"/>
      <sheetName val="RBD Material"/>
      <sheetName val="electicle "/>
      <sheetName val="roof"/>
      <sheetName val="mis"/>
      <sheetName val="Material"/>
      <sheetName val="m shet Miss premila"/>
      <sheetName val="Sheet7"/>
      <sheetName val="Sheet4"/>
      <sheetName val="Sheet5"/>
      <sheetName val="rf"/>
      <sheetName val="Minuwangoda Final"/>
      <sheetName val="Timber doors"/>
      <sheetName val="steel work"/>
      <sheetName val="Sheet6"/>
      <sheetName val="BOQ-Electrical System"/>
      <sheetName val="electicle"/>
      <sheetName val="Wattala - (6)"/>
      <sheetName val="machncle"/>
      <sheetName val="fire"/>
      <sheetName val="misalenous"/>
      <sheetName val="L.toilet"/>
      <sheetName val="lps"/>
      <sheetName val="cctv"/>
      <sheetName val="TS"/>
      <sheetName val="retaining wall"/>
      <sheetName val="Sheet3"/>
      <sheetName val="Sheet2"/>
      <sheetName val="Sheet1"/>
    </sheetNames>
    <sheetDataSet>
      <sheetData sheetId="0" refreshError="1"/>
      <sheetData sheetId="1" refreshError="1"/>
      <sheetData sheetId="2" refreshError="1"/>
      <sheetData sheetId="3" refreshError="1"/>
      <sheetData sheetId="4" refreshError="1"/>
      <sheetData sheetId="5"/>
      <sheetData sheetId="6">
        <row r="8">
          <cell r="H8">
            <v>13750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9"/>
  <sheetViews>
    <sheetView view="pageBreakPreview" topLeftCell="A25" zoomScaleSheetLayoutView="100" workbookViewId="0">
      <selection activeCell="N15" sqref="N15"/>
    </sheetView>
  </sheetViews>
  <sheetFormatPr defaultColWidth="9" defaultRowHeight="13.2" x14ac:dyDescent="0.25"/>
  <cols>
    <col min="1" max="1" width="16.109375" style="680" customWidth="1"/>
    <col min="2" max="2" width="41.6640625" style="2662" customWidth="1"/>
    <col min="3" max="3" width="10.5546875" style="680" customWidth="1"/>
    <col min="4" max="4" width="7.44140625" style="2679" customWidth="1"/>
    <col min="5" max="5" width="4.6640625" style="2670" customWidth="1"/>
    <col min="6" max="6" width="22" style="2670" customWidth="1"/>
    <col min="7" max="7" width="3.6640625" style="684" customWidth="1"/>
    <col min="8" max="8" width="1.6640625" style="680" customWidth="1"/>
    <col min="9" max="12" width="9" style="680"/>
    <col min="13" max="13" width="14.77734375" style="865" bestFit="1" customWidth="1"/>
    <col min="14" max="16384" width="9" style="680"/>
  </cols>
  <sheetData>
    <row r="1" spans="1:13" ht="27" customHeight="1" x14ac:dyDescent="0.25">
      <c r="A1" s="2562"/>
      <c r="B1" s="2655"/>
      <c r="C1" s="2563"/>
      <c r="D1" s="2671"/>
      <c r="E1" s="2663"/>
      <c r="F1" s="2663"/>
      <c r="G1" s="2564"/>
      <c r="H1" s="679"/>
    </row>
    <row r="2" spans="1:13" ht="24.75" customHeight="1" x14ac:dyDescent="0.25">
      <c r="A2" s="2565"/>
      <c r="B2" s="2656"/>
      <c r="C2" s="679"/>
      <c r="D2" s="2672"/>
      <c r="E2" s="2664"/>
      <c r="F2" s="2664"/>
      <c r="G2" s="2566"/>
      <c r="H2" s="679"/>
    </row>
    <row r="3" spans="1:13" ht="20.399999999999999" x14ac:dyDescent="0.35">
      <c r="A3" s="2567"/>
      <c r="B3" s="2657"/>
      <c r="C3" s="681"/>
      <c r="D3" s="2673"/>
      <c r="E3" s="2665"/>
      <c r="F3" s="2665"/>
      <c r="G3" s="2568"/>
      <c r="H3" s="681"/>
      <c r="I3" s="681"/>
    </row>
    <row r="4" spans="1:13" ht="20.399999999999999" x14ac:dyDescent="0.35">
      <c r="A4" s="2567"/>
      <c r="B4" s="2657"/>
      <c r="C4" s="681"/>
      <c r="D4" s="2673"/>
      <c r="E4" s="2665"/>
      <c r="F4" s="2665"/>
      <c r="G4" s="2568"/>
      <c r="H4" s="681"/>
      <c r="I4" s="681"/>
    </row>
    <row r="5" spans="1:13" ht="20.399999999999999" x14ac:dyDescent="0.35">
      <c r="A5" s="2567"/>
      <c r="B5" s="2657"/>
      <c r="C5" s="681"/>
      <c r="D5" s="2673"/>
      <c r="E5" s="2665"/>
      <c r="F5" s="2665"/>
      <c r="G5" s="2568"/>
      <c r="H5" s="681"/>
      <c r="I5" s="681"/>
    </row>
    <row r="6" spans="1:13" ht="20.399999999999999" x14ac:dyDescent="0.35">
      <c r="A6" s="2567"/>
      <c r="B6" s="2657"/>
      <c r="C6" s="681"/>
      <c r="D6" s="2673"/>
      <c r="E6" s="2665"/>
      <c r="F6" s="2665"/>
      <c r="G6" s="2568"/>
      <c r="H6" s="681"/>
      <c r="I6" s="681"/>
    </row>
    <row r="7" spans="1:13" ht="20.399999999999999" x14ac:dyDescent="0.35">
      <c r="A7" s="2567"/>
      <c r="B7" s="2657"/>
      <c r="C7" s="681"/>
      <c r="D7" s="2673"/>
      <c r="E7" s="2665"/>
      <c r="F7" s="2665"/>
      <c r="G7" s="2568"/>
      <c r="H7" s="681"/>
      <c r="I7" s="681"/>
    </row>
    <row r="8" spans="1:13" ht="20.399999999999999" x14ac:dyDescent="0.35">
      <c r="A8" s="2567"/>
      <c r="B8" s="2657"/>
      <c r="C8" s="681"/>
      <c r="D8" s="2673"/>
      <c r="E8" s="2665"/>
      <c r="F8" s="2665"/>
      <c r="G8" s="2568"/>
      <c r="H8" s="681"/>
      <c r="I8" s="681"/>
    </row>
    <row r="9" spans="1:13" ht="20.399999999999999" x14ac:dyDescent="0.35">
      <c r="A9" s="2567"/>
      <c r="B9" s="2657"/>
      <c r="C9" s="681"/>
      <c r="D9" s="2673"/>
      <c r="E9" s="2665"/>
      <c r="F9" s="2665"/>
      <c r="G9" s="2568"/>
      <c r="H9" s="681"/>
      <c r="I9" s="681"/>
    </row>
    <row r="10" spans="1:13" ht="20.399999999999999" x14ac:dyDescent="0.35">
      <c r="A10" s="2569"/>
      <c r="B10" s="2658"/>
      <c r="C10" s="682"/>
      <c r="D10" s="2674"/>
      <c r="E10" s="2666"/>
      <c r="F10" s="2666"/>
      <c r="G10" s="2570"/>
      <c r="H10" s="682"/>
      <c r="I10" s="681"/>
    </row>
    <row r="11" spans="1:13" s="2557" customFormat="1" ht="27.6" x14ac:dyDescent="0.25">
      <c r="A11" s="2682" t="s">
        <v>1856</v>
      </c>
      <c r="B11" s="2683"/>
      <c r="C11" s="2683"/>
      <c r="D11" s="2683"/>
      <c r="E11" s="2683"/>
      <c r="F11" s="2683"/>
      <c r="G11" s="2684"/>
      <c r="H11" s="2556"/>
      <c r="I11" s="2556"/>
      <c r="M11" s="2558"/>
    </row>
    <row r="12" spans="1:13" ht="20.399999999999999" x14ac:dyDescent="0.35">
      <c r="A12" s="2569"/>
      <c r="B12" s="2658"/>
      <c r="C12" s="682"/>
      <c r="D12" s="2674"/>
      <c r="E12" s="2666"/>
      <c r="F12" s="2666"/>
      <c r="G12" s="2570"/>
      <c r="H12" s="682"/>
      <c r="I12" s="681"/>
    </row>
    <row r="13" spans="1:13" ht="20.399999999999999" x14ac:dyDescent="0.35">
      <c r="A13" s="2569"/>
      <c r="B13" s="2658"/>
      <c r="C13" s="679"/>
      <c r="D13" s="2674"/>
      <c r="E13" s="2666"/>
      <c r="F13" s="2666"/>
      <c r="G13" s="2570"/>
      <c r="H13" s="682"/>
      <c r="I13" s="681"/>
    </row>
    <row r="14" spans="1:13" ht="20.25" customHeight="1" x14ac:dyDescent="0.25">
      <c r="A14" s="2565"/>
      <c r="B14" s="2656"/>
      <c r="C14" s="679"/>
      <c r="D14" s="2672"/>
      <c r="E14" s="2664"/>
      <c r="F14" s="2664"/>
      <c r="G14" s="2566"/>
      <c r="H14" s="679"/>
    </row>
    <row r="15" spans="1:13" s="2560" customFormat="1" ht="60.6" customHeight="1" x14ac:dyDescent="0.35">
      <c r="A15" s="2685" t="s">
        <v>2678</v>
      </c>
      <c r="B15" s="2686"/>
      <c r="C15" s="2686"/>
      <c r="D15" s="2686"/>
      <c r="E15" s="2686"/>
      <c r="F15" s="2686"/>
      <c r="G15" s="2687"/>
      <c r="H15" s="2559"/>
      <c r="M15" s="2561"/>
    </row>
    <row r="16" spans="1:13" s="683" customFormat="1" ht="18" x14ac:dyDescent="0.35">
      <c r="A16" s="2571"/>
      <c r="B16" s="2659"/>
      <c r="C16" s="1919"/>
      <c r="D16" s="2675"/>
      <c r="E16" s="2667"/>
      <c r="F16" s="2667"/>
      <c r="G16" s="2572"/>
      <c r="M16" s="866"/>
    </row>
    <row r="17" spans="1:13" s="683" customFormat="1" ht="15.6" customHeight="1" x14ac:dyDescent="0.35">
      <c r="A17" s="2567"/>
      <c r="B17" s="2657"/>
      <c r="C17" s="681"/>
      <c r="D17" s="2673"/>
      <c r="E17" s="2665"/>
      <c r="F17" s="2665"/>
      <c r="G17" s="2568"/>
      <c r="H17" s="681"/>
      <c r="M17" s="866"/>
    </row>
    <row r="18" spans="1:13" ht="16.5" customHeight="1" x14ac:dyDescent="0.25">
      <c r="A18" s="2565"/>
      <c r="B18" s="2656"/>
      <c r="C18" s="679"/>
      <c r="D18" s="2672"/>
      <c r="E18" s="2664"/>
      <c r="F18" s="2664"/>
      <c r="G18" s="2566"/>
    </row>
    <row r="19" spans="1:13" ht="20.399999999999999" x14ac:dyDescent="0.35">
      <c r="A19" s="2573"/>
      <c r="B19" s="2660"/>
      <c r="C19" s="859"/>
      <c r="D19" s="2676"/>
      <c r="E19" s="2668"/>
      <c r="F19" s="2668"/>
      <c r="G19" s="2574"/>
      <c r="H19" s="859"/>
      <c r="I19" s="681"/>
    </row>
    <row r="20" spans="1:13" x14ac:dyDescent="0.25">
      <c r="A20" s="2565"/>
      <c r="B20" s="2656"/>
      <c r="C20" s="679"/>
      <c r="D20" s="2677"/>
      <c r="E20" s="2664"/>
      <c r="F20" s="2664"/>
      <c r="G20" s="2575"/>
    </row>
    <row r="21" spans="1:13" x14ac:dyDescent="0.25">
      <c r="A21" s="2565"/>
      <c r="B21" s="2656"/>
      <c r="C21" s="679"/>
      <c r="D21" s="2672"/>
      <c r="E21" s="2664"/>
      <c r="F21" s="2664"/>
      <c r="G21" s="2566"/>
    </row>
    <row r="22" spans="1:13" x14ac:dyDescent="0.25">
      <c r="A22" s="2565"/>
      <c r="B22" s="2656"/>
      <c r="C22" s="679"/>
      <c r="D22" s="2672"/>
      <c r="E22" s="2664"/>
      <c r="F22" s="2664"/>
      <c r="G22" s="2566"/>
    </row>
    <row r="23" spans="1:13" x14ac:dyDescent="0.25">
      <c r="A23" s="2565"/>
      <c r="B23" s="2656"/>
      <c r="C23" s="679"/>
      <c r="D23" s="2672"/>
      <c r="E23" s="2664"/>
      <c r="F23" s="2664"/>
      <c r="G23" s="2566"/>
    </row>
    <row r="24" spans="1:13" x14ac:dyDescent="0.25">
      <c r="A24" s="2565"/>
      <c r="B24" s="2656"/>
      <c r="C24" s="679"/>
      <c r="D24" s="2672"/>
      <c r="E24" s="2664"/>
      <c r="F24" s="2664"/>
      <c r="G24" s="2566"/>
    </row>
    <row r="25" spans="1:13" x14ac:dyDescent="0.25">
      <c r="A25" s="2565"/>
      <c r="B25" s="2656"/>
      <c r="C25" s="679"/>
      <c r="D25" s="2672"/>
      <c r="E25" s="2664"/>
      <c r="F25" s="2664"/>
      <c r="G25" s="2566"/>
    </row>
    <row r="26" spans="1:13" x14ac:dyDescent="0.25">
      <c r="A26" s="2565"/>
      <c r="B26" s="2656"/>
      <c r="C26" s="679"/>
      <c r="D26" s="2672"/>
      <c r="E26" s="2664"/>
      <c r="F26" s="2664"/>
      <c r="G26" s="2566"/>
    </row>
    <row r="27" spans="1:13" x14ac:dyDescent="0.25">
      <c r="A27" s="2565"/>
      <c r="B27" s="2656"/>
      <c r="C27" s="679"/>
      <c r="D27" s="2672"/>
      <c r="E27" s="2664"/>
      <c r="F27" s="2664"/>
      <c r="G27" s="2566"/>
    </row>
    <row r="28" spans="1:13" x14ac:dyDescent="0.25">
      <c r="A28" s="2565"/>
      <c r="B28" s="2656"/>
      <c r="C28" s="679"/>
      <c r="D28" s="2672"/>
      <c r="E28" s="2664"/>
      <c r="F28" s="2664"/>
      <c r="G28" s="2566"/>
    </row>
    <row r="29" spans="1:13" x14ac:dyDescent="0.25">
      <c r="A29" s="2565"/>
      <c r="B29" s="2656"/>
      <c r="C29" s="679"/>
      <c r="D29" s="2672"/>
      <c r="E29" s="2664"/>
      <c r="F29" s="2664"/>
      <c r="G29" s="2566"/>
    </row>
    <row r="30" spans="1:13" x14ac:dyDescent="0.25">
      <c r="A30" s="2565"/>
      <c r="B30" s="2656"/>
      <c r="C30" s="679"/>
      <c r="D30" s="2672"/>
      <c r="E30" s="2664"/>
      <c r="F30" s="2664"/>
      <c r="G30" s="2566"/>
    </row>
    <row r="31" spans="1:13" x14ac:dyDescent="0.25">
      <c r="A31" s="2565"/>
      <c r="B31" s="2656"/>
      <c r="C31" s="679"/>
      <c r="D31" s="2672"/>
      <c r="E31" s="2664"/>
      <c r="F31" s="2664"/>
      <c r="G31" s="2566"/>
    </row>
    <row r="32" spans="1:13" x14ac:dyDescent="0.25">
      <c r="A32" s="2565"/>
      <c r="B32" s="2656"/>
      <c r="C32" s="679"/>
      <c r="D32" s="2672"/>
      <c r="E32" s="2664"/>
      <c r="F32" s="2664"/>
      <c r="G32" s="2566"/>
    </row>
    <row r="33" spans="1:11" x14ac:dyDescent="0.25">
      <c r="A33" s="2565"/>
      <c r="B33" s="2656"/>
      <c r="C33" s="679"/>
      <c r="D33" s="2672"/>
      <c r="E33" s="2664"/>
      <c r="F33" s="2664"/>
      <c r="G33" s="2566"/>
    </row>
    <row r="34" spans="1:11" x14ac:dyDescent="0.25">
      <c r="A34" s="2565"/>
      <c r="B34" s="2656"/>
      <c r="C34" s="679"/>
      <c r="D34" s="2672"/>
      <c r="E34" s="2664"/>
      <c r="F34" s="2664"/>
      <c r="G34" s="2566"/>
    </row>
    <row r="35" spans="1:11" x14ac:dyDescent="0.25">
      <c r="A35" s="2565"/>
      <c r="B35" s="2656"/>
      <c r="C35" s="679"/>
      <c r="D35" s="2672"/>
      <c r="E35" s="2664"/>
      <c r="F35" s="2664"/>
      <c r="G35" s="2566"/>
    </row>
    <row r="36" spans="1:11" x14ac:dyDescent="0.25">
      <c r="A36" s="2565"/>
      <c r="B36" s="2656"/>
      <c r="C36" s="679"/>
      <c r="D36" s="2672"/>
      <c r="E36" s="2664"/>
      <c r="F36" s="2664"/>
      <c r="G36" s="2566"/>
    </row>
    <row r="37" spans="1:11" x14ac:dyDescent="0.25">
      <c r="A37" s="2565"/>
      <c r="B37" s="2656"/>
      <c r="C37" s="679"/>
      <c r="D37" s="2672"/>
      <c r="E37" s="2664"/>
      <c r="F37" s="2664"/>
      <c r="G37" s="2566"/>
    </row>
    <row r="38" spans="1:11" x14ac:dyDescent="0.25">
      <c r="A38" s="2565"/>
      <c r="B38" s="2656"/>
      <c r="C38" s="679"/>
      <c r="D38" s="2672"/>
      <c r="E38" s="2664"/>
      <c r="F38" s="2664"/>
      <c r="G38" s="2566"/>
    </row>
    <row r="39" spans="1:11" x14ac:dyDescent="0.25">
      <c r="A39" s="2565"/>
      <c r="B39" s="2656"/>
      <c r="C39" s="679"/>
      <c r="D39" s="2672"/>
      <c r="E39" s="2664"/>
      <c r="F39" s="2664"/>
      <c r="G39" s="2566"/>
    </row>
    <row r="40" spans="1:11" x14ac:dyDescent="0.25">
      <c r="A40" s="2565"/>
      <c r="B40" s="2656"/>
      <c r="C40" s="679"/>
      <c r="D40" s="2672"/>
      <c r="E40" s="2664"/>
      <c r="F40" s="2664"/>
      <c r="G40" s="2566"/>
    </row>
    <row r="41" spans="1:11" x14ac:dyDescent="0.25">
      <c r="A41" s="2565"/>
      <c r="B41" s="2656"/>
      <c r="C41" s="679"/>
      <c r="D41" s="2672"/>
      <c r="E41" s="2664"/>
      <c r="F41" s="2664"/>
      <c r="G41" s="2566"/>
    </row>
    <row r="42" spans="1:11" x14ac:dyDescent="0.25">
      <c r="A42" s="2565"/>
      <c r="B42" s="2656"/>
      <c r="C42" s="679"/>
      <c r="D42" s="2672"/>
      <c r="E42" s="2664"/>
      <c r="F42" s="2664"/>
      <c r="G42" s="2566"/>
      <c r="K42" s="685"/>
    </row>
    <row r="43" spans="1:11" x14ac:dyDescent="0.25">
      <c r="A43" s="2565"/>
      <c r="B43" s="2656"/>
      <c r="C43" s="679"/>
      <c r="D43" s="2672"/>
      <c r="E43" s="2664"/>
      <c r="F43" s="2664"/>
      <c r="G43" s="2566"/>
    </row>
    <row r="44" spans="1:11" x14ac:dyDescent="0.25">
      <c r="A44" s="2565"/>
      <c r="B44" s="2656"/>
      <c r="C44" s="679"/>
      <c r="D44" s="2672"/>
      <c r="E44" s="2664"/>
      <c r="F44" s="2664"/>
      <c r="G44" s="2566"/>
    </row>
    <row r="45" spans="1:11" x14ac:dyDescent="0.25">
      <c r="A45" s="2565"/>
      <c r="B45" s="2656"/>
      <c r="C45" s="679"/>
      <c r="D45" s="2672"/>
      <c r="E45" s="2664"/>
      <c r="F45" s="2664"/>
      <c r="G45" s="2566"/>
    </row>
    <row r="46" spans="1:11" x14ac:dyDescent="0.25">
      <c r="A46" s="2565"/>
      <c r="B46" s="2656"/>
      <c r="C46" s="679"/>
      <c r="D46" s="2672"/>
      <c r="E46" s="2664"/>
      <c r="F46" s="2664"/>
      <c r="G46" s="2566"/>
    </row>
    <row r="47" spans="1:11" x14ac:dyDescent="0.25">
      <c r="A47" s="2565"/>
      <c r="B47" s="2656"/>
      <c r="C47" s="679"/>
      <c r="D47" s="2672"/>
      <c r="E47" s="2664"/>
      <c r="F47" s="2664"/>
      <c r="G47" s="2566"/>
    </row>
    <row r="48" spans="1:11" x14ac:dyDescent="0.25">
      <c r="A48" s="2565"/>
      <c r="B48" s="2656"/>
      <c r="C48" s="679"/>
      <c r="D48" s="2672"/>
      <c r="E48" s="2664"/>
      <c r="F48" s="2664"/>
      <c r="G48" s="2566"/>
    </row>
    <row r="49" spans="1:7" ht="13.8" thickBot="1" x14ac:dyDescent="0.3">
      <c r="A49" s="2576"/>
      <c r="B49" s="2661"/>
      <c r="C49" s="2577"/>
      <c r="D49" s="2678"/>
      <c r="E49" s="2669"/>
      <c r="F49" s="2669"/>
      <c r="G49" s="2578"/>
    </row>
  </sheetData>
  <mergeCells count="2">
    <mergeCell ref="A11:G11"/>
    <mergeCell ref="A15:G15"/>
  </mergeCells>
  <printOptions horizontalCentered="1" verticalCentered="1"/>
  <pageMargins left="0.36" right="0.43307086614173229" top="0.51181102362204722" bottom="0.43307086614173229" header="0.55118110236220474" footer="0.31496062992125984"/>
  <pageSetup paperSize="9" scale="9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18"/>
  <sheetViews>
    <sheetView view="pageBreakPreview" zoomScaleNormal="85" zoomScaleSheetLayoutView="100" workbookViewId="0">
      <selection activeCell="B3" sqref="B3"/>
    </sheetView>
  </sheetViews>
  <sheetFormatPr defaultColWidth="9.21875" defaultRowHeight="15.6" x14ac:dyDescent="0.25"/>
  <cols>
    <col min="1" max="1" width="13.44140625" style="290" customWidth="1"/>
    <col min="2" max="2" width="48.88671875" style="291" customWidth="1"/>
    <col min="3" max="3" width="17.77734375" style="292" bestFit="1" customWidth="1"/>
    <col min="4" max="6" width="22.44140625" style="292" customWidth="1"/>
    <col min="7" max="7" width="22.44140625" style="886" customWidth="1"/>
    <col min="8" max="10" width="15" style="286" bestFit="1" customWidth="1"/>
    <col min="11" max="11" width="13.88671875" style="286" bestFit="1" customWidth="1"/>
    <col min="12" max="12" width="15" style="286" bestFit="1" customWidth="1"/>
    <col min="13" max="13" width="29.77734375" style="286" customWidth="1"/>
    <col min="14" max="14" width="13.88671875" style="286" bestFit="1" customWidth="1"/>
    <col min="15" max="15" width="11" style="286" bestFit="1" customWidth="1"/>
    <col min="16" max="16384" width="9.21875" style="286"/>
  </cols>
  <sheetData>
    <row r="1" spans="1:7" ht="47.4" customHeight="1" thickBot="1" x14ac:dyDescent="0.35">
      <c r="A1" s="2688" t="s">
        <v>2678</v>
      </c>
      <c r="B1" s="2689"/>
      <c r="C1" s="2690"/>
      <c r="D1" s="837"/>
      <c r="E1" s="888"/>
      <c r="F1" s="888"/>
      <c r="G1" s="888"/>
    </row>
    <row r="2" spans="1:7" ht="16.2" thickBot="1" x14ac:dyDescent="0.3">
      <c r="A2" s="2697" t="s">
        <v>1122</v>
      </c>
      <c r="B2" s="2698"/>
      <c r="C2" s="2699"/>
      <c r="D2" s="838"/>
      <c r="E2" s="909"/>
      <c r="F2" s="909"/>
      <c r="G2" s="867"/>
    </row>
    <row r="3" spans="1:7" ht="18.600000000000001" customHeight="1" thickBot="1" x14ac:dyDescent="0.35">
      <c r="A3" s="2618" t="s">
        <v>2683</v>
      </c>
      <c r="B3" s="2619" t="s">
        <v>684</v>
      </c>
      <c r="C3" s="2620" t="s">
        <v>745</v>
      </c>
      <c r="D3" s="839"/>
      <c r="E3" s="839"/>
      <c r="F3" s="839"/>
      <c r="G3" s="868"/>
    </row>
    <row r="4" spans="1:7" s="182" customFormat="1" ht="13.8" x14ac:dyDescent="0.25">
      <c r="A4" s="9"/>
      <c r="B4" s="6"/>
      <c r="C4" s="850"/>
      <c r="D4" s="889"/>
      <c r="E4" s="851"/>
      <c r="F4" s="851"/>
      <c r="G4" s="869"/>
    </row>
    <row r="5" spans="1:7" x14ac:dyDescent="0.25">
      <c r="A5" s="287" t="s">
        <v>2668</v>
      </c>
      <c r="B5" s="288" t="s">
        <v>8</v>
      </c>
      <c r="C5" s="289">
        <f>+prelims!I105</f>
        <v>760010</v>
      </c>
      <c r="D5" s="840"/>
      <c r="E5" s="840"/>
      <c r="F5" s="840"/>
      <c r="G5" s="870"/>
    </row>
    <row r="6" spans="1:7" s="182" customFormat="1" ht="13.2" x14ac:dyDescent="0.25">
      <c r="A6" s="122"/>
      <c r="B6" s="123"/>
      <c r="C6" s="852"/>
      <c r="D6" s="853"/>
      <c r="E6" s="853"/>
      <c r="F6" s="853"/>
      <c r="G6" s="871"/>
    </row>
    <row r="7" spans="1:7" x14ac:dyDescent="0.25">
      <c r="A7" s="2627" t="s">
        <v>2669</v>
      </c>
      <c r="B7" s="2628" t="s">
        <v>89</v>
      </c>
      <c r="C7" s="2629">
        <f>summary!C21</f>
        <v>97007884.299999997</v>
      </c>
      <c r="D7" s="840"/>
      <c r="E7" s="840"/>
      <c r="F7" s="840"/>
      <c r="G7" s="870"/>
    </row>
    <row r="8" spans="1:7" s="182" customFormat="1" ht="13.2" x14ac:dyDescent="0.25">
      <c r="A8" s="2605"/>
      <c r="B8" s="2606"/>
      <c r="C8" s="2607"/>
      <c r="D8" s="853"/>
      <c r="E8" s="853"/>
      <c r="F8" s="853"/>
      <c r="G8" s="871"/>
    </row>
    <row r="9" spans="1:7" x14ac:dyDescent="0.25">
      <c r="A9" s="2621" t="s">
        <v>127</v>
      </c>
      <c r="B9" s="2608" t="s">
        <v>1130</v>
      </c>
      <c r="C9" s="2609">
        <f>SUM(C5:C8)</f>
        <v>97767894.299999997</v>
      </c>
      <c r="D9" s="841"/>
      <c r="E9" s="841"/>
      <c r="F9" s="841"/>
      <c r="G9" s="872"/>
    </row>
    <row r="10" spans="1:7" s="182" customFormat="1" ht="13.2" x14ac:dyDescent="0.25">
      <c r="A10" s="2622"/>
      <c r="B10" s="2606"/>
      <c r="C10" s="2607"/>
      <c r="D10" s="853"/>
      <c r="E10" s="853"/>
      <c r="F10" s="853"/>
      <c r="G10" s="871"/>
    </row>
    <row r="11" spans="1:7" x14ac:dyDescent="0.25">
      <c r="A11" s="2621"/>
      <c r="B11" s="2610" t="s">
        <v>91</v>
      </c>
      <c r="C11" s="2604"/>
      <c r="D11" s="840"/>
      <c r="E11" s="840"/>
      <c r="F11" s="840"/>
      <c r="G11" s="870"/>
    </row>
    <row r="12" spans="1:7" s="182" customFormat="1" ht="13.2" x14ac:dyDescent="0.25">
      <c r="A12" s="2622"/>
      <c r="B12" s="2611"/>
      <c r="C12" s="2607"/>
      <c r="D12" s="853"/>
      <c r="E12" s="853"/>
      <c r="F12" s="853"/>
      <c r="G12" s="853"/>
    </row>
    <row r="13" spans="1:7" x14ac:dyDescent="0.25">
      <c r="A13" s="2621" t="s">
        <v>555</v>
      </c>
      <c r="B13" s="2608" t="s">
        <v>1861</v>
      </c>
      <c r="C13" s="2609">
        <f>SUM(C9:C12)</f>
        <v>97767894.299999997</v>
      </c>
      <c r="D13" s="841"/>
      <c r="E13" s="841"/>
      <c r="F13" s="841"/>
      <c r="G13" s="872"/>
    </row>
    <row r="14" spans="1:7" s="182" customFormat="1" ht="13.2" x14ac:dyDescent="0.25">
      <c r="A14" s="2622"/>
      <c r="B14" s="2606"/>
      <c r="C14" s="2607"/>
      <c r="D14" s="853"/>
      <c r="E14" s="853"/>
      <c r="F14" s="853"/>
      <c r="G14" s="871"/>
    </row>
    <row r="15" spans="1:7" x14ac:dyDescent="0.25">
      <c r="A15" s="2621"/>
      <c r="B15" s="2610" t="s">
        <v>94</v>
      </c>
      <c r="C15" s="2604"/>
      <c r="D15" s="840"/>
      <c r="E15" s="840"/>
      <c r="F15" s="840"/>
      <c r="G15" s="870"/>
    </row>
    <row r="16" spans="1:7" s="182" customFormat="1" ht="13.2" x14ac:dyDescent="0.25">
      <c r="A16" s="2622"/>
      <c r="B16" s="2611"/>
      <c r="C16" s="2607"/>
      <c r="D16" s="853"/>
      <c r="E16" s="853"/>
      <c r="F16" s="853"/>
      <c r="G16" s="871"/>
    </row>
    <row r="17" spans="1:7" x14ac:dyDescent="0.25">
      <c r="A17" s="2621" t="s">
        <v>556</v>
      </c>
      <c r="B17" s="2608" t="s">
        <v>1860</v>
      </c>
      <c r="C17" s="2609">
        <f>SUM(C13:C16)</f>
        <v>97767894.299999997</v>
      </c>
      <c r="D17" s="841"/>
      <c r="E17" s="840"/>
      <c r="F17" s="840"/>
      <c r="G17" s="870"/>
    </row>
    <row r="18" spans="1:7" s="182" customFormat="1" ht="13.2" x14ac:dyDescent="0.25">
      <c r="A18" s="2622"/>
      <c r="B18" s="2611"/>
      <c r="C18" s="2607"/>
      <c r="D18" s="853"/>
      <c r="E18" s="853"/>
      <c r="F18" s="853"/>
      <c r="G18" s="853"/>
    </row>
    <row r="19" spans="1:7" x14ac:dyDescent="0.25">
      <c r="A19" s="2621"/>
      <c r="B19" s="2610" t="s">
        <v>1165</v>
      </c>
      <c r="C19" s="2604"/>
      <c r="D19" s="840"/>
      <c r="E19" s="840"/>
      <c r="F19" s="840"/>
      <c r="G19" s="870"/>
    </row>
    <row r="20" spans="1:7" s="182" customFormat="1" ht="13.2" x14ac:dyDescent="0.25">
      <c r="A20" s="2622"/>
      <c r="B20" s="2606"/>
      <c r="C20" s="2607"/>
      <c r="D20" s="853"/>
      <c r="E20" s="853"/>
      <c r="F20" s="853"/>
      <c r="G20" s="871"/>
    </row>
    <row r="21" spans="1:7" x14ac:dyDescent="0.25">
      <c r="A21" s="2623" t="s">
        <v>557</v>
      </c>
      <c r="B21" s="2608" t="s">
        <v>1217</v>
      </c>
      <c r="C21" s="2612">
        <f>SUM(C17:C20)</f>
        <v>97767894.299999997</v>
      </c>
      <c r="D21" s="842"/>
      <c r="E21" s="842"/>
      <c r="F21" s="842"/>
      <c r="G21" s="873"/>
    </row>
    <row r="22" spans="1:7" s="182" customFormat="1" ht="13.2" x14ac:dyDescent="0.25">
      <c r="A22" s="2624"/>
      <c r="B22" s="2611"/>
      <c r="C22" s="2613"/>
      <c r="D22" s="854"/>
      <c r="E22" s="854"/>
      <c r="F22" s="854"/>
      <c r="G22" s="874"/>
    </row>
    <row r="23" spans="1:7" x14ac:dyDescent="0.3">
      <c r="A23" s="2625"/>
      <c r="B23" s="2614" t="s">
        <v>1854</v>
      </c>
      <c r="C23" s="2615"/>
      <c r="D23" s="843"/>
      <c r="E23" s="843"/>
      <c r="F23" s="843"/>
      <c r="G23" s="875"/>
    </row>
    <row r="24" spans="1:7" s="182" customFormat="1" ht="13.2" x14ac:dyDescent="0.25">
      <c r="A24" s="2626"/>
      <c r="B24" s="2616"/>
      <c r="C24" s="2617"/>
      <c r="D24" s="855"/>
      <c r="E24" s="855"/>
      <c r="F24" s="855"/>
      <c r="G24" s="876"/>
    </row>
    <row r="25" spans="1:7" ht="16.2" thickBot="1" x14ac:dyDescent="0.35">
      <c r="A25" s="2630" t="s">
        <v>558</v>
      </c>
      <c r="B25" s="2631" t="s">
        <v>1218</v>
      </c>
      <c r="C25" s="2632">
        <f>SUM(C21:C24)</f>
        <v>97767894.299999997</v>
      </c>
      <c r="D25" s="844"/>
      <c r="E25" s="844"/>
      <c r="F25" s="844"/>
      <c r="G25" s="877"/>
    </row>
    <row r="26" spans="1:7" x14ac:dyDescent="0.25">
      <c r="A26" s="2691"/>
      <c r="B26" s="2691"/>
      <c r="C26" s="2691"/>
      <c r="D26" s="698"/>
      <c r="E26" s="910"/>
      <c r="F26" s="910"/>
      <c r="G26" s="878"/>
    </row>
    <row r="27" spans="1:7" s="24" customFormat="1" ht="13.8" x14ac:dyDescent="0.25">
      <c r="A27" s="2692" t="s">
        <v>1146</v>
      </c>
      <c r="B27" s="2692"/>
      <c r="C27" s="2692"/>
      <c r="D27" s="860"/>
      <c r="E27" s="911"/>
      <c r="F27" s="911"/>
      <c r="G27" s="879"/>
    </row>
    <row r="28" spans="1:7" s="24" customFormat="1" ht="34.200000000000003" customHeight="1" x14ac:dyDescent="0.25">
      <c r="A28" s="2693" t="s">
        <v>1147</v>
      </c>
      <c r="B28" s="2693"/>
      <c r="C28" s="2693"/>
      <c r="D28" s="861"/>
      <c r="E28" s="912"/>
      <c r="F28" s="912"/>
      <c r="G28" s="880"/>
    </row>
    <row r="29" spans="1:7" s="24" customFormat="1" ht="13.8" x14ac:dyDescent="0.25">
      <c r="A29" s="661"/>
      <c r="B29" s="661"/>
      <c r="C29" s="661"/>
      <c r="D29" s="864"/>
      <c r="E29" s="913"/>
      <c r="F29" s="913"/>
      <c r="G29" s="881"/>
    </row>
    <row r="30" spans="1:7" s="24" customFormat="1" ht="13.8" x14ac:dyDescent="0.25">
      <c r="A30" s="662"/>
      <c r="B30" s="663"/>
      <c r="C30" s="664"/>
      <c r="D30" s="664"/>
      <c r="E30" s="664"/>
      <c r="F30" s="664"/>
      <c r="G30" s="882"/>
    </row>
    <row r="31" spans="1:7" s="24" customFormat="1" ht="13.8" x14ac:dyDescent="0.25">
      <c r="A31" s="2694" t="s">
        <v>1125</v>
      </c>
      <c r="B31" s="2694"/>
      <c r="C31" s="2694"/>
      <c r="D31" s="863"/>
      <c r="E31" s="914"/>
      <c r="F31" s="914"/>
      <c r="G31" s="883"/>
    </row>
    <row r="32" spans="1:7" s="24" customFormat="1" ht="13.8" x14ac:dyDescent="0.25">
      <c r="A32" s="665"/>
      <c r="B32" s="665"/>
      <c r="C32" s="665"/>
      <c r="D32" s="863"/>
      <c r="E32" s="914"/>
      <c r="F32" s="914"/>
      <c r="G32" s="883"/>
    </row>
    <row r="33" spans="1:7" s="24" customFormat="1" ht="13.8" x14ac:dyDescent="0.25">
      <c r="A33" s="665"/>
      <c r="B33" s="665"/>
      <c r="C33" s="665"/>
      <c r="D33" s="863"/>
      <c r="E33" s="914"/>
      <c r="F33" s="914"/>
      <c r="G33" s="883"/>
    </row>
    <row r="34" spans="1:7" s="24" customFormat="1" ht="13.8" x14ac:dyDescent="0.25">
      <c r="A34" s="2694" t="s">
        <v>1121</v>
      </c>
      <c r="B34" s="2694"/>
      <c r="C34" s="2694"/>
      <c r="D34" s="863"/>
      <c r="E34" s="914"/>
      <c r="F34" s="914"/>
      <c r="G34" s="883"/>
    </row>
    <row r="35" spans="1:7" s="24" customFormat="1" ht="13.8" x14ac:dyDescent="0.25">
      <c r="A35" s="2694" t="s">
        <v>1126</v>
      </c>
      <c r="B35" s="2694"/>
      <c r="C35" s="2694"/>
      <c r="D35" s="863"/>
      <c r="E35" s="914"/>
      <c r="F35" s="914"/>
      <c r="G35" s="883"/>
    </row>
    <row r="36" spans="1:7" s="24" customFormat="1" ht="13.8" x14ac:dyDescent="0.25">
      <c r="A36" s="665"/>
      <c r="B36" s="665"/>
      <c r="C36" s="665"/>
      <c r="D36" s="863"/>
      <c r="E36" s="914"/>
      <c r="F36" s="914"/>
      <c r="G36" s="914"/>
    </row>
    <row r="37" spans="1:7" s="24" customFormat="1" ht="13.8" x14ac:dyDescent="0.25">
      <c r="A37" s="665"/>
      <c r="B37" s="665"/>
      <c r="C37" s="665"/>
      <c r="D37" s="863"/>
      <c r="E37" s="914"/>
      <c r="F37" s="914"/>
      <c r="G37" s="914"/>
    </row>
    <row r="38" spans="1:7" s="24" customFormat="1" ht="13.8" x14ac:dyDescent="0.25">
      <c r="A38" s="2694" t="s">
        <v>1127</v>
      </c>
      <c r="B38" s="2694"/>
      <c r="C38" s="2694"/>
      <c r="D38" s="863"/>
      <c r="E38" s="914"/>
      <c r="F38" s="914"/>
      <c r="G38" s="883"/>
    </row>
    <row r="39" spans="1:7" s="24" customFormat="1" ht="23.4" customHeight="1" x14ac:dyDescent="0.25">
      <c r="A39" s="2696" t="s">
        <v>1124</v>
      </c>
      <c r="B39" s="2696"/>
      <c r="C39" s="2696"/>
      <c r="D39" s="862"/>
      <c r="E39" s="849"/>
      <c r="F39" s="849"/>
      <c r="G39" s="884"/>
    </row>
    <row r="40" spans="1:7" s="24" customFormat="1" ht="23.4" customHeight="1" x14ac:dyDescent="0.25">
      <c r="A40" s="2695" t="s">
        <v>1123</v>
      </c>
      <c r="B40" s="2695"/>
      <c r="C40" s="2695"/>
      <c r="D40" s="864"/>
      <c r="E40" s="913"/>
      <c r="F40" s="913"/>
      <c r="G40" s="881"/>
    </row>
    <row r="41" spans="1:7" s="24" customFormat="1" ht="23.4" customHeight="1" x14ac:dyDescent="0.25">
      <c r="A41" s="2695" t="s">
        <v>1124</v>
      </c>
      <c r="B41" s="2695"/>
      <c r="C41" s="2695"/>
      <c r="D41" s="864"/>
      <c r="E41" s="913"/>
      <c r="F41" s="913"/>
      <c r="G41" s="881"/>
    </row>
    <row r="42" spans="1:7" s="24" customFormat="1" ht="19.8" customHeight="1" x14ac:dyDescent="0.25">
      <c r="A42" s="667"/>
      <c r="B42" s="667"/>
      <c r="C42" s="667"/>
      <c r="D42" s="864"/>
      <c r="E42" s="913"/>
      <c r="F42" s="913"/>
      <c r="G42" s="881"/>
    </row>
    <row r="43" spans="1:7" s="24" customFormat="1" ht="13.8" x14ac:dyDescent="0.25">
      <c r="A43" s="665"/>
      <c r="B43" s="665"/>
      <c r="C43" s="665"/>
      <c r="D43" s="863"/>
      <c r="E43" s="914"/>
      <c r="F43" s="914"/>
      <c r="G43" s="883"/>
    </row>
    <row r="44" spans="1:7" s="24" customFormat="1" ht="13.8" x14ac:dyDescent="0.25">
      <c r="A44" s="2694" t="s">
        <v>1133</v>
      </c>
      <c r="B44" s="2694"/>
      <c r="C44" s="2694"/>
      <c r="D44" s="863"/>
      <c r="E44" s="914"/>
      <c r="F44" s="914"/>
      <c r="G44" s="883"/>
    </row>
    <row r="45" spans="1:7" s="24" customFormat="1" ht="13.8" x14ac:dyDescent="0.25">
      <c r="A45" s="2694" t="s">
        <v>1132</v>
      </c>
      <c r="B45" s="2694"/>
      <c r="C45" s="2694"/>
      <c r="D45" s="863"/>
      <c r="E45" s="914"/>
      <c r="F45" s="914"/>
      <c r="G45" s="883"/>
    </row>
    <row r="46" spans="1:7" s="24" customFormat="1" ht="13.8" x14ac:dyDescent="0.25">
      <c r="A46" s="2694" t="s">
        <v>1131</v>
      </c>
      <c r="B46" s="2694"/>
      <c r="C46" s="2694"/>
      <c r="D46" s="863"/>
      <c r="E46" s="914"/>
      <c r="F46" s="914"/>
      <c r="G46" s="883"/>
    </row>
    <row r="47" spans="1:7" s="24" customFormat="1" ht="32.4" customHeight="1" x14ac:dyDescent="0.25">
      <c r="A47" s="2695" t="s">
        <v>1200</v>
      </c>
      <c r="B47" s="2695"/>
      <c r="C47" s="2695"/>
      <c r="D47" s="864"/>
      <c r="E47" s="913"/>
      <c r="F47" s="913"/>
      <c r="G47" s="881"/>
    </row>
    <row r="48" spans="1:7" s="24" customFormat="1" ht="32.4" customHeight="1" x14ac:dyDescent="0.25">
      <c r="A48" s="2695" t="s">
        <v>1200</v>
      </c>
      <c r="B48" s="2695"/>
      <c r="C48" s="2695"/>
      <c r="D48" s="864"/>
      <c r="E48" s="913"/>
      <c r="F48" s="913"/>
      <c r="G48" s="881"/>
    </row>
    <row r="49" spans="1:7" s="24" customFormat="1" ht="32.4" customHeight="1" x14ac:dyDescent="0.25">
      <c r="A49" s="2695" t="s">
        <v>1200</v>
      </c>
      <c r="B49" s="2695"/>
      <c r="C49" s="2695"/>
      <c r="D49" s="864"/>
      <c r="E49" s="913"/>
      <c r="F49" s="913"/>
      <c r="G49" s="881"/>
    </row>
    <row r="50" spans="1:7" s="666" customFormat="1" ht="32.4" customHeight="1" x14ac:dyDescent="0.25">
      <c r="A50" s="2696" t="s">
        <v>1134</v>
      </c>
      <c r="B50" s="2696"/>
      <c r="C50" s="2696"/>
      <c r="D50" s="862"/>
      <c r="E50" s="849"/>
      <c r="F50" s="849"/>
      <c r="G50" s="884"/>
    </row>
    <row r="51" spans="1:7" s="666" customFormat="1" ht="13.8" x14ac:dyDescent="0.25">
      <c r="A51" s="848"/>
      <c r="B51" s="848"/>
      <c r="C51" s="848"/>
      <c r="D51" s="862"/>
      <c r="E51" s="849"/>
      <c r="F51" s="849"/>
      <c r="G51" s="884"/>
    </row>
    <row r="52" spans="1:7" s="666" customFormat="1" ht="13.8" x14ac:dyDescent="0.25">
      <c r="A52" s="848"/>
      <c r="B52" s="848" t="s">
        <v>701</v>
      </c>
      <c r="C52" s="849">
        <f>97.7*10.76</f>
        <v>1051.252</v>
      </c>
      <c r="D52" s="849"/>
      <c r="E52" s="849"/>
      <c r="F52" s="849"/>
      <c r="G52" s="884"/>
    </row>
    <row r="53" spans="1:7" s="666" customFormat="1" ht="13.8" x14ac:dyDescent="0.25">
      <c r="A53" s="848"/>
      <c r="B53" s="848" t="s">
        <v>702</v>
      </c>
      <c r="C53" s="849">
        <f>95*10.76</f>
        <v>1022.1999999999999</v>
      </c>
      <c r="D53" s="849"/>
      <c r="E53" s="849"/>
      <c r="F53" s="849"/>
      <c r="G53" s="884"/>
    </row>
    <row r="54" spans="1:7" s="666" customFormat="1" ht="13.8" x14ac:dyDescent="0.25">
      <c r="A54" s="848"/>
      <c r="B54" s="848" t="s">
        <v>703</v>
      </c>
      <c r="C54" s="849">
        <f t="shared" ref="C54:C55" si="0">95*10.76</f>
        <v>1022.1999999999999</v>
      </c>
      <c r="D54" s="849"/>
      <c r="E54" s="849"/>
      <c r="F54" s="849"/>
      <c r="G54" s="884"/>
    </row>
    <row r="55" spans="1:7" s="666" customFormat="1" ht="13.8" x14ac:dyDescent="0.25">
      <c r="A55" s="929"/>
      <c r="B55" s="929" t="s">
        <v>1397</v>
      </c>
      <c r="C55" s="849">
        <f t="shared" si="0"/>
        <v>1022.1999999999999</v>
      </c>
      <c r="D55" s="849"/>
      <c r="E55" s="849"/>
      <c r="F55" s="849"/>
      <c r="G55" s="884"/>
    </row>
    <row r="56" spans="1:7" s="666" customFormat="1" ht="13.8" x14ac:dyDescent="0.25">
      <c r="A56" s="929"/>
      <c r="B56" s="929"/>
      <c r="C56" s="849"/>
      <c r="D56" s="849"/>
      <c r="E56" s="849"/>
      <c r="F56" s="849"/>
      <c r="G56" s="884"/>
    </row>
    <row r="57" spans="1:7" s="666" customFormat="1" ht="13.8" x14ac:dyDescent="0.25">
      <c r="A57" s="929"/>
      <c r="B57" s="929"/>
      <c r="C57" s="849"/>
      <c r="D57" s="849"/>
      <c r="E57" s="849"/>
      <c r="F57" s="849"/>
      <c r="G57" s="884"/>
    </row>
    <row r="58" spans="1:7" s="666" customFormat="1" ht="13.8" x14ac:dyDescent="0.25">
      <c r="A58" s="848"/>
      <c r="B58" s="848" t="s">
        <v>1210</v>
      </c>
      <c r="C58" s="849">
        <f>SUM(C52:C55)</f>
        <v>4117.8519999999999</v>
      </c>
      <c r="D58" s="849"/>
      <c r="E58" s="849"/>
      <c r="F58" s="849"/>
      <c r="G58" s="884"/>
    </row>
    <row r="59" spans="1:7" s="666" customFormat="1" ht="13.8" x14ac:dyDescent="0.25">
      <c r="A59" s="848"/>
      <c r="B59" s="848"/>
      <c r="C59" s="849"/>
      <c r="D59" s="849"/>
      <c r="E59" s="849"/>
      <c r="F59" s="849"/>
      <c r="G59" s="884"/>
    </row>
    <row r="60" spans="1:7" s="666" customFormat="1" ht="13.8" x14ac:dyDescent="0.25">
      <c r="A60" s="848"/>
      <c r="B60" s="848" t="s">
        <v>1211</v>
      </c>
      <c r="C60" s="849">
        <f>C7/C58</f>
        <v>23557.885106118432</v>
      </c>
      <c r="D60" s="849"/>
      <c r="E60" s="849"/>
      <c r="F60" s="849"/>
      <c r="G60" s="884"/>
    </row>
    <row r="61" spans="1:7" s="666" customFormat="1" ht="13.8" x14ac:dyDescent="0.25">
      <c r="A61" s="848"/>
      <c r="B61" s="848"/>
      <c r="C61" s="849"/>
      <c r="D61" s="849"/>
      <c r="E61" s="849"/>
      <c r="F61" s="849"/>
      <c r="G61" s="884"/>
    </row>
    <row r="62" spans="1:7" s="666" customFormat="1" ht="13.8" x14ac:dyDescent="0.25">
      <c r="A62" s="848"/>
      <c r="B62" s="848"/>
      <c r="C62" s="849"/>
      <c r="D62" s="849"/>
      <c r="E62" s="849"/>
      <c r="F62" s="849"/>
      <c r="G62" s="884"/>
    </row>
    <row r="63" spans="1:7" s="666" customFormat="1" ht="13.8" x14ac:dyDescent="0.25">
      <c r="A63" s="848"/>
      <c r="B63" s="848"/>
      <c r="C63" s="849"/>
      <c r="D63" s="849"/>
      <c r="E63" s="849"/>
      <c r="F63" s="849"/>
      <c r="G63" s="884"/>
    </row>
    <row r="64" spans="1:7" s="666" customFormat="1" ht="13.8" x14ac:dyDescent="0.25">
      <c r="A64" s="848"/>
      <c r="B64" s="848"/>
      <c r="C64" s="849"/>
      <c r="D64" s="849"/>
      <c r="E64" s="849"/>
      <c r="F64" s="849"/>
      <c r="G64" s="884"/>
    </row>
    <row r="65" spans="1:7" s="666" customFormat="1" ht="13.8" x14ac:dyDescent="0.25">
      <c r="A65" s="848"/>
      <c r="B65" s="848"/>
      <c r="C65" s="848"/>
      <c r="D65" s="862"/>
      <c r="E65" s="849"/>
      <c r="F65" s="849"/>
      <c r="G65" s="884"/>
    </row>
    <row r="66" spans="1:7" s="666" customFormat="1" ht="13.8" x14ac:dyDescent="0.25">
      <c r="A66" s="848"/>
      <c r="B66" s="848"/>
      <c r="C66" s="848"/>
      <c r="D66" s="862"/>
      <c r="E66" s="849"/>
      <c r="F66" s="849"/>
      <c r="G66" s="884"/>
    </row>
    <row r="67" spans="1:7" s="666" customFormat="1" ht="13.8" x14ac:dyDescent="0.25">
      <c r="A67" s="848"/>
      <c r="B67" s="848"/>
      <c r="C67" s="848"/>
      <c r="D67" s="862"/>
      <c r="E67" s="849"/>
      <c r="F67" s="849"/>
      <c r="G67" s="884"/>
    </row>
    <row r="68" spans="1:7" s="666" customFormat="1" ht="13.8" x14ac:dyDescent="0.25">
      <c r="A68" s="848"/>
      <c r="B68" s="848"/>
      <c r="C68" s="848"/>
      <c r="D68" s="862"/>
      <c r="E68" s="849"/>
      <c r="F68" s="849"/>
      <c r="G68" s="884"/>
    </row>
    <row r="69" spans="1:7" s="666" customFormat="1" ht="13.8" x14ac:dyDescent="0.25">
      <c r="A69" s="848"/>
      <c r="B69" s="848"/>
      <c r="C69" s="848"/>
      <c r="D69" s="862"/>
      <c r="E69" s="849"/>
      <c r="F69" s="849"/>
      <c r="G69" s="884"/>
    </row>
    <row r="70" spans="1:7" s="666" customFormat="1" ht="14.4" thickBot="1" x14ac:dyDescent="0.3">
      <c r="A70" s="848"/>
      <c r="B70" s="848"/>
      <c r="C70" s="848"/>
      <c r="D70" s="862"/>
      <c r="E70" s="849"/>
      <c r="F70" s="849"/>
      <c r="G70" s="884"/>
    </row>
    <row r="71" spans="1:7" x14ac:dyDescent="0.3">
      <c r="A71" s="660">
        <v>60000000</v>
      </c>
      <c r="B71" s="660">
        <v>60000000</v>
      </c>
      <c r="C71" s="660">
        <v>60000000</v>
      </c>
      <c r="D71" s="845"/>
      <c r="E71" s="845"/>
      <c r="F71" s="845"/>
      <c r="G71" s="885"/>
    </row>
    <row r="72" spans="1:7" x14ac:dyDescent="0.25">
      <c r="B72" s="291" t="s">
        <v>1120</v>
      </c>
      <c r="C72" s="292">
        <f>A71*0.0144</f>
        <v>864000</v>
      </c>
    </row>
    <row r="73" spans="1:7" x14ac:dyDescent="0.25">
      <c r="C73" s="292">
        <f>C13*1.44%</f>
        <v>1407857.6779199999</v>
      </c>
    </row>
    <row r="76" spans="1:7" x14ac:dyDescent="0.25">
      <c r="B76" s="635" t="s">
        <v>1100</v>
      </c>
      <c r="C76" s="636">
        <v>0.23</v>
      </c>
      <c r="D76" s="846"/>
      <c r="E76" s="890"/>
      <c r="F76" s="890"/>
      <c r="G76" s="887"/>
    </row>
    <row r="77" spans="1:7" x14ac:dyDescent="0.25">
      <c r="B77" s="635" t="s">
        <v>1101</v>
      </c>
      <c r="C77" s="636">
        <v>0.18</v>
      </c>
      <c r="D77" s="846"/>
      <c r="E77" s="890"/>
      <c r="F77" s="890"/>
      <c r="G77" s="887"/>
    </row>
    <row r="78" spans="1:7" x14ac:dyDescent="0.25">
      <c r="B78" s="635" t="s">
        <v>1102</v>
      </c>
      <c r="C78" s="636">
        <v>0.22</v>
      </c>
      <c r="D78" s="846"/>
      <c r="E78" s="890"/>
      <c r="F78" s="890"/>
      <c r="G78" s="887"/>
    </row>
    <row r="79" spans="1:7" x14ac:dyDescent="0.25">
      <c r="B79" s="635" t="s">
        <v>1103</v>
      </c>
      <c r="C79" s="636">
        <v>0.1</v>
      </c>
      <c r="D79" s="846"/>
      <c r="E79" s="890"/>
      <c r="F79" s="890"/>
      <c r="G79" s="887"/>
    </row>
    <row r="80" spans="1:7" x14ac:dyDescent="0.25">
      <c r="B80" s="635" t="s">
        <v>1104</v>
      </c>
      <c r="C80" s="636">
        <v>0.12</v>
      </c>
      <c r="D80" s="846"/>
      <c r="E80" s="890"/>
      <c r="F80" s="890"/>
      <c r="G80" s="887"/>
    </row>
    <row r="81" spans="2:7" x14ac:dyDescent="0.25">
      <c r="B81" s="635" t="s">
        <v>1105</v>
      </c>
      <c r="C81" s="636">
        <v>0.15</v>
      </c>
      <c r="D81" s="846"/>
      <c r="E81" s="890"/>
      <c r="F81" s="890"/>
      <c r="G81" s="887"/>
    </row>
    <row r="84" spans="2:7" x14ac:dyDescent="0.25">
      <c r="B84" s="291" t="s">
        <v>1110</v>
      </c>
    </row>
    <row r="85" spans="2:7" x14ac:dyDescent="0.25">
      <c r="B85" s="291" t="s">
        <v>1111</v>
      </c>
    </row>
    <row r="87" spans="2:7" x14ac:dyDescent="0.25">
      <c r="C87" s="292">
        <v>100000</v>
      </c>
    </row>
    <row r="94" spans="2:7" x14ac:dyDescent="0.25">
      <c r="C94" s="292">
        <f>400000</f>
        <v>400000</v>
      </c>
    </row>
    <row r="113" spans="3:7" x14ac:dyDescent="0.25">
      <c r="C113" s="292">
        <v>7200000</v>
      </c>
    </row>
    <row r="117" spans="3:7" x14ac:dyDescent="0.25">
      <c r="C117" s="292">
        <f>C113/450</f>
        <v>16000</v>
      </c>
    </row>
    <row r="118" spans="3:7" x14ac:dyDescent="0.25">
      <c r="G118" s="886">
        <f>G113*0.015</f>
        <v>0</v>
      </c>
    </row>
  </sheetData>
  <mergeCells count="19">
    <mergeCell ref="A47:C47"/>
    <mergeCell ref="A48:C48"/>
    <mergeCell ref="A49:C49"/>
    <mergeCell ref="A50:C50"/>
    <mergeCell ref="A2:C2"/>
    <mergeCell ref="A40:C40"/>
    <mergeCell ref="A41:C41"/>
    <mergeCell ref="A44:C44"/>
    <mergeCell ref="A45:C45"/>
    <mergeCell ref="A46:C46"/>
    <mergeCell ref="A34:C34"/>
    <mergeCell ref="A35:C35"/>
    <mergeCell ref="A38:C38"/>
    <mergeCell ref="A39:C39"/>
    <mergeCell ref="A1:C1"/>
    <mergeCell ref="A26:C26"/>
    <mergeCell ref="A27:C27"/>
    <mergeCell ref="A28:C28"/>
    <mergeCell ref="A31:C31"/>
  </mergeCells>
  <pageMargins left="0.48" right="0.31496062992125984" top="1.48" bottom="0.23622047244094491" header="0.35433070866141736" footer="0.98425196850393704"/>
  <pageSetup scale="12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4"/>
  <sheetViews>
    <sheetView view="pageBreakPreview" zoomScaleNormal="85" zoomScaleSheetLayoutView="100" workbookViewId="0">
      <selection sqref="A1:C1"/>
    </sheetView>
  </sheetViews>
  <sheetFormatPr defaultColWidth="9.21875" defaultRowHeight="15.6" x14ac:dyDescent="0.25"/>
  <cols>
    <col min="1" max="1" width="8.21875" style="2553" customWidth="1"/>
    <col min="2" max="2" width="50.5546875" style="2554" customWidth="1"/>
    <col min="3" max="3" width="19.44140625" style="2555" customWidth="1"/>
    <col min="4" max="4" width="12.33203125" style="1915" bestFit="1" customWidth="1"/>
    <col min="5" max="5" width="13.88671875" style="1915" bestFit="1" customWidth="1"/>
    <col min="6" max="6" width="10" style="1915" bestFit="1" customWidth="1"/>
    <col min="7" max="7" width="13.88671875" style="1915" bestFit="1" customWidth="1"/>
    <col min="8" max="9" width="15" style="1915" bestFit="1" customWidth="1"/>
    <col min="10" max="10" width="13.88671875" style="1915" bestFit="1" customWidth="1"/>
    <col min="11" max="16384" width="9.21875" style="1915"/>
  </cols>
  <sheetData>
    <row r="1" spans="1:5" s="2680" customFormat="1" ht="28.8" customHeight="1" x14ac:dyDescent="0.25">
      <c r="A1" s="2703" t="s">
        <v>2678</v>
      </c>
      <c r="B1" s="2704"/>
      <c r="C1" s="2705"/>
    </row>
    <row r="2" spans="1:5" x14ac:dyDescent="0.3">
      <c r="A2" s="2700" t="s">
        <v>89</v>
      </c>
      <c r="B2" s="2701"/>
      <c r="C2" s="2702"/>
    </row>
    <row r="3" spans="1:5" ht="16.2" thickBot="1" x14ac:dyDescent="0.35">
      <c r="A3" s="2532"/>
      <c r="B3" s="2533"/>
      <c r="C3" s="2534"/>
    </row>
    <row r="4" spans="1:5" ht="16.2" thickBot="1" x14ac:dyDescent="0.35">
      <c r="A4" s="2535" t="s">
        <v>0</v>
      </c>
      <c r="B4" s="2536" t="s">
        <v>1</v>
      </c>
      <c r="C4" s="2593" t="s">
        <v>5</v>
      </c>
    </row>
    <row r="5" spans="1:5" x14ac:dyDescent="0.3">
      <c r="A5" s="2537"/>
      <c r="B5" s="2538"/>
      <c r="C5" s="2539"/>
    </row>
    <row r="6" spans="1:5" x14ac:dyDescent="0.3">
      <c r="A6" s="2540"/>
      <c r="B6" s="2541"/>
      <c r="C6" s="2542"/>
    </row>
    <row r="7" spans="1:5" ht="18" customHeight="1" x14ac:dyDescent="0.3">
      <c r="A7" s="2543" t="s">
        <v>127</v>
      </c>
      <c r="B7" s="2544" t="str">
        <f>exca!B2</f>
        <v>EXCAVATION &amp; EARTH WORK</v>
      </c>
      <c r="C7" s="2019">
        <f>exca!H39</f>
        <v>1432370</v>
      </c>
      <c r="D7" s="1915">
        <v>0.75</v>
      </c>
      <c r="E7" s="2255">
        <f t="shared" ref="E7:E18" si="0">+C7/$C$21</f>
        <v>1.4765500869706114E-2</v>
      </c>
    </row>
    <row r="8" spans="1:5" ht="18" customHeight="1" x14ac:dyDescent="0.3">
      <c r="A8" s="2543" t="s">
        <v>555</v>
      </c>
      <c r="B8" s="2544" t="str">
        <f>concrete!B2</f>
        <v>C - CONCRETE</v>
      </c>
      <c r="C8" s="2019">
        <f>concrete!H139</f>
        <v>24287535</v>
      </c>
      <c r="D8" s="1915">
        <v>0.75</v>
      </c>
      <c r="E8" s="2255">
        <f t="shared" si="0"/>
        <v>0.25036660860358545</v>
      </c>
    </row>
    <row r="9" spans="1:5" ht="18" customHeight="1" x14ac:dyDescent="0.3">
      <c r="A9" s="2017" t="s">
        <v>558</v>
      </c>
      <c r="B9" s="2018" t="str">
        <f>masnry!B2</f>
        <v>F - MASONRY WORKS</v>
      </c>
      <c r="C9" s="2019">
        <f>masnry!H28</f>
        <v>7721693.5</v>
      </c>
      <c r="D9" s="1915">
        <v>0.75</v>
      </c>
      <c r="E9" s="2255">
        <f t="shared" si="0"/>
        <v>7.9598617738331601E-2</v>
      </c>
    </row>
    <row r="10" spans="1:5" ht="18" customHeight="1" x14ac:dyDescent="0.3">
      <c r="A10" s="2017" t="s">
        <v>559</v>
      </c>
      <c r="B10" s="2018" t="str">
        <f>floring!B2</f>
        <v>J - FLOORING WORK</v>
      </c>
      <c r="C10" s="2019">
        <f>floring!H11</f>
        <v>171350</v>
      </c>
      <c r="D10" s="1915">
        <v>0.75</v>
      </c>
      <c r="E10" s="2255">
        <f t="shared" si="0"/>
        <v>1.7663512737799191E-3</v>
      </c>
    </row>
    <row r="11" spans="1:5" ht="18" customHeight="1" x14ac:dyDescent="0.3">
      <c r="A11" s="2017" t="s">
        <v>560</v>
      </c>
      <c r="B11" s="2018" t="str">
        <f>waterprof!B2</f>
        <v>R - WATER PROOFING WORK</v>
      </c>
      <c r="C11" s="2019">
        <f>waterprof!H20</f>
        <v>1695509</v>
      </c>
      <c r="D11" s="1915">
        <v>0.75</v>
      </c>
      <c r="E11" s="2255">
        <f t="shared" si="0"/>
        <v>1.7478053585382649E-2</v>
      </c>
    </row>
    <row r="12" spans="1:5" ht="18" customHeight="1" x14ac:dyDescent="0.3">
      <c r="A12" s="2017" t="s">
        <v>561</v>
      </c>
      <c r="B12" s="2018" t="str">
        <f>plastering!B2</f>
        <v>K  -  PLASTERING WORK</v>
      </c>
      <c r="C12" s="2019">
        <f>plastering!H56</f>
        <v>6189263</v>
      </c>
      <c r="D12" s="1915">
        <v>0.75</v>
      </c>
      <c r="E12" s="2255">
        <f t="shared" si="0"/>
        <v>6.3801649161417701E-2</v>
      </c>
    </row>
    <row r="13" spans="1:5" ht="18" customHeight="1" x14ac:dyDescent="0.3">
      <c r="A13" s="2017" t="s">
        <v>562</v>
      </c>
      <c r="B13" s="2018" t="s">
        <v>735</v>
      </c>
      <c r="C13" s="2019">
        <f>+tile!H115</f>
        <v>9368340</v>
      </c>
      <c r="D13" s="1915">
        <v>0.75</v>
      </c>
      <c r="E13" s="2255">
        <f t="shared" si="0"/>
        <v>9.6572975151464055E-2</v>
      </c>
    </row>
    <row r="14" spans="1:5" x14ac:dyDescent="0.3">
      <c r="A14" s="2017" t="s">
        <v>563</v>
      </c>
      <c r="B14" s="2018" t="str">
        <f>paint!B2</f>
        <v>M  -  COLOUR WASHING, PAINTING &amp; POLISHING</v>
      </c>
      <c r="C14" s="2019">
        <f>paint!H26</f>
        <v>4072270</v>
      </c>
      <c r="D14" s="1915">
        <v>0.75</v>
      </c>
      <c r="E14" s="2255">
        <f t="shared" si="0"/>
        <v>4.1978752854833677E-2</v>
      </c>
    </row>
    <row r="15" spans="1:5" ht="16.2" x14ac:dyDescent="0.3">
      <c r="A15" s="2017" t="s">
        <v>565</v>
      </c>
      <c r="B15" s="2018" t="s">
        <v>740</v>
      </c>
      <c r="C15" s="2019">
        <f>+'plumbing '!H216</f>
        <v>6770880</v>
      </c>
      <c r="D15" s="2016">
        <v>0.75</v>
      </c>
      <c r="E15" s="2255">
        <f t="shared" si="0"/>
        <v>6.9797213379696396E-2</v>
      </c>
    </row>
    <row r="16" spans="1:5" ht="16.2" x14ac:dyDescent="0.3">
      <c r="A16" s="2017" t="s">
        <v>566</v>
      </c>
      <c r="B16" s="2018" t="s">
        <v>314</v>
      </c>
      <c r="C16" s="2019">
        <f>+'electicle '!H174</f>
        <v>7265890</v>
      </c>
      <c r="D16" s="2016">
        <v>0.75</v>
      </c>
      <c r="E16" s="2255">
        <f t="shared" si="0"/>
        <v>7.4899994494571201E-2</v>
      </c>
    </row>
    <row r="17" spans="1:5" ht="16.2" x14ac:dyDescent="0.3">
      <c r="A17" s="2017" t="s">
        <v>567</v>
      </c>
      <c r="B17" s="2018" t="s">
        <v>330</v>
      </c>
      <c r="C17" s="2019">
        <f>+'metal '!H105</f>
        <v>19471520</v>
      </c>
      <c r="D17" s="2016">
        <v>0.85</v>
      </c>
      <c r="E17" s="2255">
        <f>+C17/$C$21</f>
        <v>0.20072100469466686</v>
      </c>
    </row>
    <row r="18" spans="1:5" ht="16.2" x14ac:dyDescent="0.3">
      <c r="A18" s="2017" t="s">
        <v>569</v>
      </c>
      <c r="B18" s="2018" t="s">
        <v>2677</v>
      </c>
      <c r="C18" s="2019">
        <f>+Pool!H55</f>
        <v>8561263.8000000007</v>
      </c>
      <c r="D18" s="2016">
        <v>0.75</v>
      </c>
      <c r="E18" s="2255">
        <f t="shared" si="0"/>
        <v>8.8253278192564399E-2</v>
      </c>
    </row>
    <row r="19" spans="1:5" x14ac:dyDescent="0.3">
      <c r="A19" s="2545"/>
      <c r="B19" s="2546"/>
      <c r="C19" s="2542"/>
    </row>
    <row r="20" spans="1:5" ht="16.2" thickBot="1" x14ac:dyDescent="0.35">
      <c r="A20" s="2545"/>
      <c r="B20" s="2546"/>
      <c r="C20" s="2542"/>
    </row>
    <row r="21" spans="1:5" ht="16.2" thickBot="1" x14ac:dyDescent="0.3">
      <c r="A21" s="2547"/>
      <c r="B21" s="2548" t="s">
        <v>45</v>
      </c>
      <c r="C21" s="2549">
        <f>SUM(C7:C20)</f>
        <v>97007884.299999997</v>
      </c>
    </row>
    <row r="22" spans="1:5" x14ac:dyDescent="0.3">
      <c r="A22" s="2550"/>
      <c r="B22" s="2551"/>
      <c r="C22" s="2552"/>
    </row>
    <row r="23" spans="1:5" x14ac:dyDescent="0.3">
      <c r="A23" s="2550"/>
      <c r="B23" s="2551"/>
      <c r="C23" s="2552"/>
    </row>
    <row r="24" spans="1:5" x14ac:dyDescent="0.3">
      <c r="A24" s="2550"/>
      <c r="B24" s="2551"/>
      <c r="C24" s="2552"/>
    </row>
    <row r="25" spans="1:5" x14ac:dyDescent="0.3">
      <c r="A25" s="2550"/>
      <c r="B25" s="2551" t="s">
        <v>2659</v>
      </c>
      <c r="C25" s="2552">
        <f>1993+1993+1993+661</f>
        <v>6640</v>
      </c>
    </row>
    <row r="26" spans="1:5" x14ac:dyDescent="0.3">
      <c r="A26" s="2550"/>
      <c r="B26" s="2551"/>
      <c r="C26" s="2552">
        <f>+C21/C25</f>
        <v>14609.621129518071</v>
      </c>
    </row>
    <row r="27" spans="1:5" x14ac:dyDescent="0.3">
      <c r="A27" s="2550"/>
      <c r="B27" s="2551"/>
      <c r="C27" s="2552"/>
    </row>
    <row r="28" spans="1:5" x14ac:dyDescent="0.3">
      <c r="A28" s="2550"/>
      <c r="B28" s="2551"/>
      <c r="C28" s="2552">
        <v>10500</v>
      </c>
    </row>
    <row r="29" spans="1:5" x14ac:dyDescent="0.3">
      <c r="A29" s="2550"/>
      <c r="B29" s="2551"/>
      <c r="C29" s="2552">
        <f>+C26*C25</f>
        <v>97007884.299999997</v>
      </c>
    </row>
    <row r="30" spans="1:5" x14ac:dyDescent="0.3">
      <c r="A30" s="2550"/>
      <c r="B30" s="2551"/>
      <c r="C30" s="2552"/>
    </row>
    <row r="31" spans="1:5" x14ac:dyDescent="0.3">
      <c r="A31" s="2550"/>
      <c r="B31" s="2551"/>
      <c r="C31" s="2552"/>
    </row>
    <row r="32" spans="1:5" x14ac:dyDescent="0.3">
      <c r="A32" s="2550"/>
      <c r="B32" s="2551"/>
      <c r="C32" s="2552"/>
    </row>
    <row r="33" spans="1:3" x14ac:dyDescent="0.3">
      <c r="A33" s="2550"/>
      <c r="B33" s="2551"/>
      <c r="C33" s="2552"/>
    </row>
    <row r="34" spans="1:3" x14ac:dyDescent="0.3">
      <c r="A34" s="2550"/>
      <c r="B34" s="2551"/>
      <c r="C34" s="2552"/>
    </row>
  </sheetData>
  <mergeCells count="2">
    <mergeCell ref="A2:C2"/>
    <mergeCell ref="A1:C1"/>
  </mergeCells>
  <pageMargins left="0.6" right="0.35433070866141736" top="1.38" bottom="0.23622047244094491" header="0.55118110236220474" footer="0.51181102362204722"/>
  <pageSetup scale="125" fitToHeight="0" orientation="portrait" r:id="rId1"/>
  <headerFooter alignWithMargins="0">
    <oddFooter>&amp;C&amp;P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BBF1B-473D-4985-B691-ED57DC019C4F}">
  <sheetPr>
    <tabColor rgb="FF002060"/>
  </sheetPr>
  <dimension ref="A1:H55"/>
  <sheetViews>
    <sheetView showZeros="0" view="pageBreakPreview" topLeftCell="A16" zoomScale="85" zoomScaleSheetLayoutView="85" workbookViewId="0">
      <selection activeCell="D29" sqref="D29"/>
    </sheetView>
  </sheetViews>
  <sheetFormatPr defaultColWidth="9.109375" defaultRowHeight="23.4" customHeight="1" x14ac:dyDescent="0.25"/>
  <cols>
    <col min="1" max="1" width="3.77734375" style="2807" customWidth="1"/>
    <col min="2" max="2" width="66.21875" style="2807" customWidth="1"/>
    <col min="3" max="3" width="5.44140625" style="2807" customWidth="1"/>
    <col min="4" max="4" width="24.88671875" style="2842" customWidth="1"/>
    <col min="5" max="5" width="4.88671875" style="2807" customWidth="1"/>
    <col min="6" max="6" width="9.109375" style="2807"/>
    <col min="7" max="7" width="24.5546875" style="2807" customWidth="1"/>
    <col min="8" max="8" width="15" style="2807" bestFit="1" customWidth="1"/>
    <col min="9" max="16384" width="9.109375" style="2807"/>
  </cols>
  <sheetData>
    <row r="1" spans="1:7" ht="23.4" customHeight="1" thickBot="1" x14ac:dyDescent="0.3">
      <c r="A1" s="2804"/>
      <c r="B1" s="2805"/>
      <c r="C1" s="2805"/>
      <c r="D1" s="2834"/>
      <c r="E1" s="2806"/>
    </row>
    <row r="2" spans="1:7" ht="42.6" customHeight="1" thickBot="1" x14ac:dyDescent="0.3">
      <c r="A2" s="2811" t="s">
        <v>2678</v>
      </c>
      <c r="B2" s="2812"/>
      <c r="C2" s="2812"/>
      <c r="D2" s="2812"/>
      <c r="E2" s="2813"/>
    </row>
    <row r="3" spans="1:7" ht="24" customHeight="1" x14ac:dyDescent="0.25">
      <c r="A3" s="2808"/>
      <c r="B3" s="2814" t="s">
        <v>2704</v>
      </c>
      <c r="C3" s="2814"/>
      <c r="D3" s="2814"/>
      <c r="E3" s="2810"/>
    </row>
    <row r="4" spans="1:7" ht="24" customHeight="1" x14ac:dyDescent="0.25">
      <c r="A4" s="2808"/>
      <c r="B4" s="2815"/>
      <c r="C4" s="2815"/>
      <c r="D4" s="2835"/>
      <c r="E4" s="2810"/>
    </row>
    <row r="5" spans="1:7" ht="22.5" customHeight="1" x14ac:dyDescent="0.25">
      <c r="A5" s="2808"/>
      <c r="B5" s="2816" t="s">
        <v>8</v>
      </c>
      <c r="C5" s="2817" t="s">
        <v>83</v>
      </c>
      <c r="D5" s="2836">
        <f>+prelims!I105</f>
        <v>760010</v>
      </c>
      <c r="E5" s="2810"/>
      <c r="G5" s="2818"/>
    </row>
    <row r="6" spans="1:7" ht="22.5" customHeight="1" x14ac:dyDescent="0.25">
      <c r="A6" s="2808"/>
      <c r="B6" s="2809"/>
      <c r="C6" s="2819"/>
      <c r="D6" s="2837"/>
      <c r="E6" s="2810"/>
    </row>
    <row r="7" spans="1:7" ht="22.5" customHeight="1" x14ac:dyDescent="0.25">
      <c r="A7" s="2808"/>
      <c r="B7" s="2816" t="s">
        <v>81</v>
      </c>
      <c r="C7" s="2817" t="s">
        <v>83</v>
      </c>
      <c r="D7" s="2836">
        <f>+exca!H39</f>
        <v>1432370</v>
      </c>
      <c r="E7" s="2810"/>
      <c r="G7" s="2818"/>
    </row>
    <row r="8" spans="1:7" ht="22.5" customHeight="1" x14ac:dyDescent="0.25">
      <c r="A8" s="2808"/>
      <c r="B8" s="2809"/>
      <c r="C8" s="2819"/>
      <c r="D8" s="2837"/>
      <c r="E8" s="2810"/>
    </row>
    <row r="9" spans="1:7" ht="22.5" customHeight="1" x14ac:dyDescent="0.25">
      <c r="A9" s="2808"/>
      <c r="B9" s="2816" t="s">
        <v>2744</v>
      </c>
      <c r="C9" s="2817" t="s">
        <v>83</v>
      </c>
      <c r="D9" s="2836">
        <f>+concrete!H139</f>
        <v>24287535</v>
      </c>
      <c r="E9" s="2810"/>
      <c r="G9" s="2818"/>
    </row>
    <row r="10" spans="1:7" ht="22.5" customHeight="1" x14ac:dyDescent="0.25">
      <c r="A10" s="2808"/>
      <c r="B10" s="2809"/>
      <c r="C10" s="2819"/>
      <c r="D10" s="2837"/>
      <c r="E10" s="2810"/>
    </row>
    <row r="11" spans="1:7" ht="22.5" customHeight="1" x14ac:dyDescent="0.25">
      <c r="A11" s="2808"/>
      <c r="B11" s="2816" t="s">
        <v>1079</v>
      </c>
      <c r="C11" s="2817" t="s">
        <v>83</v>
      </c>
      <c r="D11" s="2836">
        <f>+masnry!H28</f>
        <v>7721693.5</v>
      </c>
      <c r="E11" s="2810"/>
      <c r="F11" s="2820"/>
      <c r="G11" s="2818"/>
    </row>
    <row r="12" spans="1:7" ht="22.5" customHeight="1" x14ac:dyDescent="0.25">
      <c r="A12" s="2808"/>
      <c r="B12" s="2809"/>
      <c r="C12" s="2819"/>
      <c r="D12" s="2837"/>
      <c r="E12" s="2810"/>
    </row>
    <row r="13" spans="1:7" ht="22.5" customHeight="1" x14ac:dyDescent="0.25">
      <c r="A13" s="2808"/>
      <c r="B13" s="2816" t="s">
        <v>1080</v>
      </c>
      <c r="C13" s="2817" t="s">
        <v>83</v>
      </c>
      <c r="D13" s="2836">
        <f>+floring!H11</f>
        <v>171350</v>
      </c>
      <c r="E13" s="2810"/>
    </row>
    <row r="14" spans="1:7" ht="22.5" customHeight="1" x14ac:dyDescent="0.25">
      <c r="A14" s="2808"/>
      <c r="B14" s="2809"/>
      <c r="C14" s="2819"/>
      <c r="D14" s="2837"/>
      <c r="E14" s="2810"/>
    </row>
    <row r="15" spans="1:7" ht="22.5" customHeight="1" x14ac:dyDescent="0.25">
      <c r="A15" s="2808"/>
      <c r="B15" s="2816" t="s">
        <v>1082</v>
      </c>
      <c r="C15" s="2817" t="s">
        <v>83</v>
      </c>
      <c r="D15" s="2836">
        <f>+plastering!H56</f>
        <v>6189263</v>
      </c>
      <c r="E15" s="2810"/>
      <c r="G15" s="2818"/>
    </row>
    <row r="16" spans="1:7" ht="22.5" customHeight="1" x14ac:dyDescent="0.25">
      <c r="A16" s="2808"/>
      <c r="B16" s="2809"/>
      <c r="C16" s="2819"/>
      <c r="D16" s="2837"/>
      <c r="E16" s="2810"/>
    </row>
    <row r="17" spans="1:5" ht="22.5" customHeight="1" x14ac:dyDescent="0.25">
      <c r="A17" s="2808"/>
      <c r="B17" s="2816" t="s">
        <v>1083</v>
      </c>
      <c r="C17" s="2817" t="s">
        <v>83</v>
      </c>
      <c r="D17" s="2836">
        <f>+tile!H115</f>
        <v>9368340</v>
      </c>
      <c r="E17" s="2810"/>
    </row>
    <row r="18" spans="1:5" ht="22.5" customHeight="1" x14ac:dyDescent="0.25">
      <c r="A18" s="2808"/>
      <c r="B18" s="2809"/>
      <c r="C18" s="2819"/>
      <c r="D18" s="2837"/>
      <c r="E18" s="2810"/>
    </row>
    <row r="19" spans="1:5" ht="22.5" customHeight="1" x14ac:dyDescent="0.25">
      <c r="A19" s="2808"/>
      <c r="B19" s="2816" t="s">
        <v>580</v>
      </c>
      <c r="C19" s="2817" t="s">
        <v>83</v>
      </c>
      <c r="D19" s="2836">
        <f>+paint!H26</f>
        <v>4072270</v>
      </c>
      <c r="E19" s="2810"/>
    </row>
    <row r="20" spans="1:5" ht="22.5" customHeight="1" x14ac:dyDescent="0.25">
      <c r="A20" s="2808"/>
      <c r="B20" s="2809"/>
      <c r="C20" s="2819"/>
      <c r="D20" s="2837"/>
      <c r="E20" s="2810"/>
    </row>
    <row r="21" spans="1:5" ht="22.5" customHeight="1" x14ac:dyDescent="0.25">
      <c r="A21" s="2808"/>
      <c r="B21" s="2816" t="s">
        <v>1086</v>
      </c>
      <c r="C21" s="2817" t="s">
        <v>83</v>
      </c>
      <c r="D21" s="2836">
        <f>+'plumbing '!H216</f>
        <v>6770880</v>
      </c>
      <c r="E21" s="2810"/>
    </row>
    <row r="22" spans="1:5" ht="22.5" customHeight="1" x14ac:dyDescent="0.25">
      <c r="A22" s="2808"/>
      <c r="B22" s="2809"/>
      <c r="C22" s="2819"/>
      <c r="D22" s="2837"/>
      <c r="E22" s="2810"/>
    </row>
    <row r="23" spans="1:5" ht="22.5" customHeight="1" x14ac:dyDescent="0.25">
      <c r="A23" s="2808"/>
      <c r="B23" s="2816" t="s">
        <v>586</v>
      </c>
      <c r="C23" s="2817" t="s">
        <v>83</v>
      </c>
      <c r="D23" s="2836">
        <f>+'electicle '!H174</f>
        <v>7265890</v>
      </c>
      <c r="E23" s="2810"/>
    </row>
    <row r="24" spans="1:5" ht="22.5" customHeight="1" x14ac:dyDescent="0.25">
      <c r="A24" s="2808"/>
      <c r="B24" s="2809"/>
      <c r="C24" s="2819"/>
      <c r="D24" s="2837"/>
      <c r="E24" s="2810"/>
    </row>
    <row r="25" spans="1:5" ht="22.5" customHeight="1" x14ac:dyDescent="0.25">
      <c r="A25" s="2808"/>
      <c r="B25" s="2816" t="s">
        <v>2743</v>
      </c>
      <c r="C25" s="2817" t="s">
        <v>83</v>
      </c>
      <c r="D25" s="2836">
        <f>+'metal '!H105</f>
        <v>19471520</v>
      </c>
      <c r="E25" s="2810"/>
    </row>
    <row r="26" spans="1:5" ht="22.5" customHeight="1" x14ac:dyDescent="0.25">
      <c r="A26" s="2808"/>
      <c r="B26" s="2809"/>
      <c r="C26" s="2819"/>
      <c r="D26" s="2837"/>
      <c r="E26" s="2810"/>
    </row>
    <row r="27" spans="1:5" ht="22.5" customHeight="1" x14ac:dyDescent="0.25">
      <c r="A27" s="2808"/>
      <c r="B27" s="2816" t="s">
        <v>1081</v>
      </c>
      <c r="C27" s="2817" t="s">
        <v>83</v>
      </c>
      <c r="D27" s="2836">
        <f>+waterprof!H20</f>
        <v>1695509</v>
      </c>
      <c r="E27" s="2810"/>
    </row>
    <row r="28" spans="1:5" ht="22.2" customHeight="1" x14ac:dyDescent="0.25">
      <c r="A28" s="2808"/>
      <c r="B28" s="2821"/>
      <c r="C28" s="2822"/>
      <c r="D28" s="2838"/>
      <c r="E28" s="2810"/>
    </row>
    <row r="29" spans="1:5" ht="22.2" customHeight="1" x14ac:dyDescent="0.25">
      <c r="A29" s="2808"/>
      <c r="B29" s="2816"/>
      <c r="C29" s="2817" t="s">
        <v>83</v>
      </c>
      <c r="D29" s="2836">
        <f>+waterprof!H22</f>
        <v>0</v>
      </c>
      <c r="E29" s="2810"/>
    </row>
    <row r="30" spans="1:5" ht="22.2" customHeight="1" x14ac:dyDescent="0.25">
      <c r="A30" s="2808"/>
      <c r="B30" s="2821"/>
      <c r="C30" s="2822"/>
      <c r="D30" s="2838"/>
      <c r="E30" s="2810"/>
    </row>
    <row r="31" spans="1:5" ht="22.2" customHeight="1" x14ac:dyDescent="0.25">
      <c r="A31" s="2808"/>
      <c r="B31" s="2816"/>
      <c r="C31" s="2817" t="s">
        <v>83</v>
      </c>
      <c r="D31" s="2836">
        <f>+waterprof!H24</f>
        <v>0</v>
      </c>
      <c r="E31" s="2810"/>
    </row>
    <row r="32" spans="1:5" ht="22.2" customHeight="1" x14ac:dyDescent="0.25">
      <c r="A32" s="2808"/>
      <c r="B32" s="2821"/>
      <c r="C32" s="2822"/>
      <c r="D32" s="2838"/>
      <c r="E32" s="2810"/>
    </row>
    <row r="33" spans="1:8" ht="22.2" customHeight="1" x14ac:dyDescent="0.25">
      <c r="A33" s="2808"/>
      <c r="B33" s="2816"/>
      <c r="C33" s="2817" t="s">
        <v>83</v>
      </c>
      <c r="D33" s="2836">
        <f>+waterprof!H26</f>
        <v>0</v>
      </c>
      <c r="E33" s="2810"/>
    </row>
    <row r="34" spans="1:8" ht="22.2" customHeight="1" x14ac:dyDescent="0.25">
      <c r="A34" s="2808"/>
      <c r="B34" s="2821"/>
      <c r="C34" s="2822"/>
      <c r="D34" s="2838"/>
      <c r="E34" s="2810"/>
    </row>
    <row r="35" spans="1:8" ht="22.5" customHeight="1" x14ac:dyDescent="0.25">
      <c r="A35" s="2808"/>
      <c r="B35" s="2816" t="s">
        <v>2705</v>
      </c>
      <c r="C35" s="2817"/>
      <c r="D35" s="2836">
        <f>SUM(D5:D28)</f>
        <v>89206630.5</v>
      </c>
      <c r="E35" s="2810"/>
      <c r="G35" s="2823"/>
      <c r="H35" s="2823"/>
    </row>
    <row r="36" spans="1:8" ht="22.5" customHeight="1" x14ac:dyDescent="0.25">
      <c r="A36" s="2808"/>
      <c r="B36" s="2824" t="s">
        <v>2706</v>
      </c>
      <c r="C36" s="2817"/>
      <c r="D36" s="2839">
        <f>D35*0</f>
        <v>0</v>
      </c>
      <c r="E36" s="2810"/>
    </row>
    <row r="37" spans="1:8" ht="22.5" customHeight="1" x14ac:dyDescent="0.25">
      <c r="A37" s="2808"/>
      <c r="B37" s="2825" t="s">
        <v>2707</v>
      </c>
      <c r="C37" s="2817" t="s">
        <v>83</v>
      </c>
      <c r="D37" s="2836">
        <f>SUM(D35:D36)</f>
        <v>89206630.5</v>
      </c>
      <c r="E37" s="2810"/>
    </row>
    <row r="38" spans="1:8" ht="22.5" customHeight="1" thickBot="1" x14ac:dyDescent="0.3">
      <c r="A38" s="2808"/>
      <c r="B38" s="2826" t="s">
        <v>2708</v>
      </c>
      <c r="C38" s="2819" t="s">
        <v>83</v>
      </c>
      <c r="D38" s="2840">
        <f>SUM(D37:D37)</f>
        <v>89206630.5</v>
      </c>
      <c r="E38" s="2810"/>
    </row>
    <row r="39" spans="1:8" ht="22.5" customHeight="1" thickTop="1" x14ac:dyDescent="0.25">
      <c r="A39" s="2808"/>
      <c r="B39" s="2826"/>
      <c r="C39" s="2819"/>
      <c r="D39" s="2837"/>
      <c r="E39" s="2810"/>
    </row>
    <row r="40" spans="1:8" ht="22.5" customHeight="1" x14ac:dyDescent="0.25">
      <c r="A40" s="2808"/>
      <c r="B40" s="2826"/>
      <c r="C40" s="2819"/>
      <c r="D40" s="2837"/>
      <c r="E40" s="2810"/>
    </row>
    <row r="41" spans="1:8" ht="22.5" customHeight="1" x14ac:dyDescent="0.25">
      <c r="A41" s="2808"/>
      <c r="B41" s="2826"/>
      <c r="C41" s="2819"/>
      <c r="D41" s="2837"/>
      <c r="E41" s="2810"/>
    </row>
    <row r="42" spans="1:8" ht="22.5" customHeight="1" x14ac:dyDescent="0.25">
      <c r="A42" s="2808"/>
      <c r="B42" s="2826"/>
      <c r="C42" s="2819"/>
      <c r="D42" s="2837"/>
      <c r="E42" s="2810"/>
    </row>
    <row r="43" spans="1:8" ht="22.5" customHeight="1" x14ac:dyDescent="0.25">
      <c r="A43" s="2808"/>
      <c r="B43" s="2809"/>
      <c r="C43" s="2819"/>
      <c r="D43" s="2837"/>
      <c r="E43" s="2810"/>
    </row>
    <row r="44" spans="1:8" ht="22.5" customHeight="1" x14ac:dyDescent="0.25">
      <c r="A44" s="2808"/>
      <c r="B44" s="2826"/>
      <c r="C44" s="2819"/>
      <c r="D44" s="2837"/>
      <c r="E44" s="2810"/>
    </row>
    <row r="45" spans="1:8" ht="22.5" customHeight="1" x14ac:dyDescent="0.25">
      <c r="A45" s="2808"/>
      <c r="B45" s="2827"/>
      <c r="C45" s="2827"/>
      <c r="D45" s="2827"/>
      <c r="E45" s="2810"/>
    </row>
    <row r="46" spans="1:8" ht="22.5" customHeight="1" x14ac:dyDescent="0.25">
      <c r="A46" s="2808"/>
      <c r="B46" s="2809"/>
      <c r="C46" s="2809"/>
      <c r="D46" s="2837"/>
      <c r="E46" s="2810"/>
    </row>
    <row r="47" spans="1:8" ht="22.5" customHeight="1" x14ac:dyDescent="0.25">
      <c r="A47" s="2808"/>
      <c r="B47" s="2826"/>
      <c r="C47" s="2819"/>
      <c r="D47" s="2837"/>
      <c r="E47" s="2810"/>
    </row>
    <row r="48" spans="1:8" ht="22.5" customHeight="1" x14ac:dyDescent="0.25">
      <c r="A48" s="2808"/>
      <c r="B48" s="2826"/>
      <c r="C48" s="2819"/>
      <c r="D48" s="2837"/>
      <c r="E48" s="2810"/>
    </row>
    <row r="49" spans="1:5" ht="22.5" customHeight="1" x14ac:dyDescent="0.25">
      <c r="A49" s="2808"/>
      <c r="B49" s="2827" t="s">
        <v>2709</v>
      </c>
      <c r="C49" s="2827"/>
      <c r="D49" s="2827"/>
      <c r="E49" s="2810"/>
    </row>
    <row r="50" spans="1:5" ht="22.5" customHeight="1" thickBot="1" x14ac:dyDescent="0.3">
      <c r="A50" s="2828"/>
      <c r="B50" s="2829"/>
      <c r="C50" s="2830"/>
      <c r="D50" s="2841"/>
      <c r="E50" s="2831"/>
    </row>
    <row r="51" spans="1:5" ht="22.5" customHeight="1" x14ac:dyDescent="0.25">
      <c r="C51" s="2819"/>
    </row>
    <row r="52" spans="1:5" ht="22.5" customHeight="1" x14ac:dyDescent="0.25">
      <c r="B52" s="2832"/>
      <c r="C52" s="2819"/>
    </row>
    <row r="53" spans="1:5" ht="23.4" customHeight="1" x14ac:dyDescent="0.25">
      <c r="B53" s="2832"/>
      <c r="C53" s="2819"/>
    </row>
    <row r="54" spans="1:5" ht="23.4" customHeight="1" x14ac:dyDescent="0.25">
      <c r="B54" s="2832"/>
      <c r="C54" s="2819"/>
    </row>
    <row r="55" spans="1:5" ht="23.4" customHeight="1" x14ac:dyDescent="0.25">
      <c r="B55" s="2832"/>
      <c r="C55" s="2819"/>
    </row>
  </sheetData>
  <mergeCells count="4">
    <mergeCell ref="A2:E2"/>
    <mergeCell ref="B3:D3"/>
    <mergeCell ref="B45:D45"/>
    <mergeCell ref="B49:D49"/>
  </mergeCells>
  <pageMargins left="0.51181102362204722" right="0.27559055118110237" top="0.78740157480314965" bottom="0.74803149606299213" header="0.31496062992125984" footer="0.31496062992125984"/>
  <pageSetup paperSize="9" scale="90" orientation="portrait" r:id="rId1"/>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9D3F7-C3E0-4F7D-8BF0-4BD8921489AA}">
  <sheetPr>
    <tabColor rgb="FF002060"/>
  </sheetPr>
  <dimension ref="A1:P106"/>
  <sheetViews>
    <sheetView view="pageBreakPreview" zoomScale="99" zoomScaleNormal="85" zoomScaleSheetLayoutView="99" workbookViewId="0">
      <selection activeCell="B106" sqref="B106"/>
    </sheetView>
  </sheetViews>
  <sheetFormatPr defaultColWidth="9.21875" defaultRowHeight="13.8" x14ac:dyDescent="0.25"/>
  <cols>
    <col min="1" max="1" width="7.21875" style="2176" customWidth="1"/>
    <col min="2" max="2" width="54.33203125" style="2178" customWidth="1"/>
    <col min="3" max="3" width="10.44140625" style="2184" customWidth="1"/>
    <col min="4" max="4" width="5.5546875" style="2184" customWidth="1"/>
    <col min="5" max="5" width="8.5546875" style="2184" customWidth="1"/>
    <col min="6" max="6" width="11.5546875" style="2210" hidden="1" customWidth="1"/>
    <col min="7" max="7" width="6.88671875" style="2211" hidden="1" customWidth="1"/>
    <col min="8" max="8" width="11.5546875" style="580" bestFit="1" customWidth="1"/>
    <col min="9" max="9" width="14.77734375" style="580" customWidth="1"/>
    <col min="10" max="10" width="11.77734375" style="2178" bestFit="1" customWidth="1"/>
    <col min="11" max="11" width="13.88671875" style="2178" bestFit="1" customWidth="1"/>
    <col min="12" max="12" width="16.44140625" style="2178" bestFit="1" customWidth="1"/>
    <col min="13" max="13" width="12.77734375" style="2178" bestFit="1" customWidth="1"/>
    <col min="14" max="14" width="14" style="2178" bestFit="1" customWidth="1"/>
    <col min="15" max="15" width="13" style="2178" bestFit="1" customWidth="1"/>
    <col min="16" max="16" width="11.77734375" style="2178" bestFit="1" customWidth="1"/>
    <col min="17" max="16384" width="9.21875" style="2178"/>
  </cols>
  <sheetData>
    <row r="1" spans="1:10" s="2165" customFormat="1" ht="42" thickBot="1" x14ac:dyDescent="0.3">
      <c r="A1" s="2163" t="s">
        <v>0</v>
      </c>
      <c r="B1" s="2164" t="s">
        <v>1</v>
      </c>
      <c r="C1" s="2158" t="s">
        <v>1158</v>
      </c>
      <c r="D1" s="2159" t="s">
        <v>2</v>
      </c>
      <c r="E1" s="2160" t="s">
        <v>3</v>
      </c>
      <c r="F1" s="2191" t="s">
        <v>2326</v>
      </c>
      <c r="G1" s="2153" t="s">
        <v>2327</v>
      </c>
      <c r="H1" s="1899" t="s">
        <v>4</v>
      </c>
      <c r="I1" s="2192" t="s">
        <v>5</v>
      </c>
      <c r="J1" s="2165">
        <v>0.75</v>
      </c>
    </row>
    <row r="2" spans="1:10" s="2165" customFormat="1" x14ac:dyDescent="0.25">
      <c r="A2" s="2168"/>
      <c r="B2" s="2169" t="s">
        <v>6</v>
      </c>
      <c r="C2" s="2189"/>
      <c r="D2" s="2185"/>
      <c r="E2" s="2179"/>
      <c r="F2" s="2193"/>
      <c r="G2" s="1918"/>
      <c r="H2" s="783"/>
      <c r="I2" s="2194"/>
    </row>
    <row r="3" spans="1:10" s="2165" customFormat="1" x14ac:dyDescent="0.25">
      <c r="A3" s="2170" t="s">
        <v>7</v>
      </c>
      <c r="B3" s="2171" t="s">
        <v>8</v>
      </c>
      <c r="C3" s="2180"/>
      <c r="D3" s="2186"/>
      <c r="E3" s="1061"/>
      <c r="F3" s="2195"/>
      <c r="G3" s="1917"/>
      <c r="H3" s="2286"/>
      <c r="I3" s="2196"/>
    </row>
    <row r="4" spans="1:10" s="2165" customFormat="1" x14ac:dyDescent="0.25">
      <c r="A4" s="2166"/>
      <c r="B4" s="2167"/>
      <c r="C4" s="1061"/>
      <c r="D4" s="2186"/>
      <c r="E4" s="1061"/>
      <c r="F4" s="2195"/>
      <c r="G4" s="1917"/>
      <c r="H4" s="2286"/>
      <c r="I4" s="2196"/>
    </row>
    <row r="5" spans="1:10" s="2165" customFormat="1" x14ac:dyDescent="0.25">
      <c r="A5" s="2170" t="s">
        <v>2710</v>
      </c>
      <c r="B5" s="2171" t="s">
        <v>751</v>
      </c>
      <c r="C5" s="2180"/>
      <c r="D5" s="2162"/>
      <c r="E5" s="1061"/>
      <c r="F5" s="2197"/>
      <c r="G5" s="2198"/>
      <c r="H5" s="2199"/>
      <c r="I5" s="2212"/>
    </row>
    <row r="6" spans="1:10" s="2165" customFormat="1" x14ac:dyDescent="0.25">
      <c r="A6" s="2166"/>
      <c r="B6" s="2171"/>
      <c r="C6" s="2180"/>
      <c r="D6" s="2162"/>
      <c r="E6" s="1061"/>
      <c r="F6" s="2197"/>
      <c r="G6" s="2198"/>
      <c r="H6" s="2199"/>
      <c r="I6" s="2212"/>
    </row>
    <row r="7" spans="1:10" s="2165" customFormat="1" ht="27.6" x14ac:dyDescent="0.25">
      <c r="A7" s="2833"/>
      <c r="B7" s="2167" t="s">
        <v>2441</v>
      </c>
      <c r="C7" s="1061" t="s">
        <v>1159</v>
      </c>
      <c r="D7" s="2162"/>
      <c r="E7" s="1061"/>
      <c r="F7" s="2195"/>
      <c r="G7" s="1917"/>
      <c r="H7" s="2286"/>
      <c r="I7" s="2213" t="s">
        <v>2511</v>
      </c>
    </row>
    <row r="8" spans="1:10" s="2165" customFormat="1" x14ac:dyDescent="0.25">
      <c r="A8" s="2166"/>
      <c r="B8" s="2167"/>
      <c r="C8" s="1061"/>
      <c r="D8" s="2162"/>
      <c r="E8" s="1061"/>
      <c r="F8" s="2195"/>
      <c r="G8" s="1917"/>
      <c r="H8" s="2286"/>
      <c r="I8" s="2196"/>
    </row>
    <row r="9" spans="1:10" s="2165" customFormat="1" hidden="1" x14ac:dyDescent="0.25">
      <c r="A9" s="2166">
        <f>A7+0.01</f>
        <v>0.01</v>
      </c>
      <c r="B9" s="2167" t="s">
        <v>752</v>
      </c>
      <c r="C9" s="1061" t="s">
        <v>1159</v>
      </c>
      <c r="D9" s="2162">
        <v>1</v>
      </c>
      <c r="E9" s="1061" t="s">
        <v>13</v>
      </c>
      <c r="F9" s="2195"/>
      <c r="G9" s="1917"/>
      <c r="H9" s="2286"/>
      <c r="I9" s="2196"/>
    </row>
    <row r="10" spans="1:10" s="2165" customFormat="1" hidden="1" x14ac:dyDescent="0.25">
      <c r="A10" s="2166"/>
      <c r="B10" s="2167"/>
      <c r="C10" s="1061"/>
      <c r="D10" s="2162"/>
      <c r="E10" s="1061"/>
      <c r="F10" s="2195"/>
      <c r="G10" s="1917"/>
      <c r="H10" s="2286"/>
      <c r="I10" s="2196"/>
    </row>
    <row r="11" spans="1:10" s="2165" customFormat="1" ht="61.2" hidden="1" customHeight="1" x14ac:dyDescent="0.25">
      <c r="A11" s="2166">
        <f>A9+0.01</f>
        <v>0.02</v>
      </c>
      <c r="B11" s="2161" t="s">
        <v>779</v>
      </c>
      <c r="C11" s="1022" t="s">
        <v>1159</v>
      </c>
      <c r="D11" s="2162">
        <v>1</v>
      </c>
      <c r="E11" s="1061" t="s">
        <v>13</v>
      </c>
      <c r="F11" s="2200"/>
      <c r="G11" s="2201"/>
      <c r="H11" s="2202"/>
      <c r="I11" s="2213"/>
    </row>
    <row r="12" spans="1:10" s="2165" customFormat="1" hidden="1" x14ac:dyDescent="0.25">
      <c r="A12" s="2166"/>
      <c r="B12" s="2167"/>
      <c r="C12" s="1061"/>
      <c r="D12" s="2162"/>
      <c r="E12" s="1061"/>
      <c r="F12" s="2195"/>
      <c r="G12" s="1917"/>
      <c r="H12" s="2286"/>
      <c r="I12" s="2196"/>
    </row>
    <row r="13" spans="1:10" s="2165" customFormat="1" hidden="1" x14ac:dyDescent="0.25">
      <c r="A13" s="2166"/>
      <c r="B13" s="2167" t="s">
        <v>753</v>
      </c>
      <c r="C13" s="1061"/>
      <c r="D13" s="2162"/>
      <c r="E13" s="1061"/>
      <c r="F13" s="2195"/>
      <c r="G13" s="1917"/>
      <c r="H13" s="2286"/>
      <c r="I13" s="2196"/>
    </row>
    <row r="14" spans="1:10" s="2165" customFormat="1" hidden="1" x14ac:dyDescent="0.25">
      <c r="A14" s="2166"/>
      <c r="B14" s="2167"/>
      <c r="C14" s="1061"/>
      <c r="D14" s="2162"/>
      <c r="E14" s="1061"/>
      <c r="F14" s="2195"/>
      <c r="G14" s="1917"/>
      <c r="H14" s="2286"/>
      <c r="I14" s="2196"/>
    </row>
    <row r="15" spans="1:10" s="2165" customFormat="1" ht="27.6" hidden="1" x14ac:dyDescent="0.25">
      <c r="A15" s="2166"/>
      <c r="B15" s="2161" t="s">
        <v>754</v>
      </c>
      <c r="C15" s="1022"/>
      <c r="D15" s="2162"/>
      <c r="E15" s="1061"/>
      <c r="F15" s="2200"/>
      <c r="G15" s="2201"/>
      <c r="H15" s="2202"/>
      <c r="I15" s="2213"/>
    </row>
    <row r="16" spans="1:10" s="2165" customFormat="1" hidden="1" x14ac:dyDescent="0.25">
      <c r="A16" s="2166"/>
      <c r="B16" s="2161"/>
      <c r="C16" s="1022"/>
      <c r="D16" s="2162"/>
      <c r="E16" s="1061"/>
      <c r="F16" s="2200"/>
      <c r="G16" s="2201"/>
      <c r="H16" s="2202"/>
      <c r="I16" s="2213"/>
    </row>
    <row r="17" spans="1:9" s="2165" customFormat="1" ht="27.6" hidden="1" x14ac:dyDescent="0.25">
      <c r="A17" s="2166"/>
      <c r="B17" s="2161" t="s">
        <v>755</v>
      </c>
      <c r="C17" s="1022"/>
      <c r="D17" s="2162"/>
      <c r="E17" s="1061"/>
      <c r="F17" s="2200"/>
      <c r="G17" s="2201"/>
      <c r="H17" s="2202"/>
      <c r="I17" s="2213"/>
    </row>
    <row r="18" spans="1:9" s="2165" customFormat="1" hidden="1" x14ac:dyDescent="0.25">
      <c r="A18" s="2166"/>
      <c r="B18" s="2161"/>
      <c r="C18" s="1022"/>
      <c r="D18" s="2162"/>
      <c r="E18" s="1061"/>
      <c r="F18" s="2200"/>
      <c r="G18" s="2201"/>
      <c r="H18" s="2202"/>
      <c r="I18" s="2213"/>
    </row>
    <row r="19" spans="1:9" s="2165" customFormat="1" ht="27.6" hidden="1" x14ac:dyDescent="0.25">
      <c r="A19" s="2166"/>
      <c r="B19" s="2161" t="s">
        <v>756</v>
      </c>
      <c r="C19" s="1022"/>
      <c r="D19" s="2162"/>
      <c r="E19" s="1061"/>
      <c r="F19" s="2200"/>
      <c r="G19" s="2201"/>
      <c r="H19" s="2202"/>
      <c r="I19" s="2213"/>
    </row>
    <row r="20" spans="1:9" s="2165" customFormat="1" hidden="1" x14ac:dyDescent="0.25">
      <c r="A20" s="2166"/>
      <c r="B20" s="2161"/>
      <c r="C20" s="1022"/>
      <c r="D20" s="2162"/>
      <c r="E20" s="1061"/>
      <c r="F20" s="2200"/>
      <c r="G20" s="2201"/>
      <c r="H20" s="2202"/>
      <c r="I20" s="2213"/>
    </row>
    <row r="21" spans="1:9" s="2165" customFormat="1" ht="27.6" hidden="1" x14ac:dyDescent="0.25">
      <c r="A21" s="2166"/>
      <c r="B21" s="2161" t="s">
        <v>757</v>
      </c>
      <c r="C21" s="1022"/>
      <c r="D21" s="2162"/>
      <c r="E21" s="1061"/>
      <c r="F21" s="2200"/>
      <c r="G21" s="2201"/>
      <c r="H21" s="2202"/>
      <c r="I21" s="2213"/>
    </row>
    <row r="22" spans="1:9" s="2165" customFormat="1" hidden="1" x14ac:dyDescent="0.25">
      <c r="A22" s="2166"/>
      <c r="B22" s="2161"/>
      <c r="C22" s="1022"/>
      <c r="D22" s="2162"/>
      <c r="E22" s="1061"/>
      <c r="F22" s="2200"/>
      <c r="G22" s="2201"/>
      <c r="H22" s="2202"/>
      <c r="I22" s="2213"/>
    </row>
    <row r="23" spans="1:9" s="2165" customFormat="1" ht="46.2" hidden="1" customHeight="1" x14ac:dyDescent="0.25">
      <c r="A23" s="2166"/>
      <c r="B23" s="2161" t="s">
        <v>758</v>
      </c>
      <c r="C23" s="1022"/>
      <c r="D23" s="2162"/>
      <c r="E23" s="1061"/>
      <c r="F23" s="2200"/>
      <c r="G23" s="2201"/>
      <c r="H23" s="2202"/>
      <c r="I23" s="2213"/>
    </row>
    <row r="24" spans="1:9" s="2165" customFormat="1" hidden="1" x14ac:dyDescent="0.25">
      <c r="A24" s="2166"/>
      <c r="B24" s="2161"/>
      <c r="C24" s="1022"/>
      <c r="D24" s="2162"/>
      <c r="E24" s="1061"/>
      <c r="F24" s="2200"/>
      <c r="G24" s="2201"/>
      <c r="H24" s="2202"/>
      <c r="I24" s="2213"/>
    </row>
    <row r="25" spans="1:9" s="2165" customFormat="1" ht="29.4" hidden="1" customHeight="1" x14ac:dyDescent="0.25">
      <c r="A25" s="2166"/>
      <c r="B25" s="2161" t="s">
        <v>759</v>
      </c>
      <c r="C25" s="1022"/>
      <c r="D25" s="2162"/>
      <c r="E25" s="1061"/>
      <c r="F25" s="2200"/>
      <c r="G25" s="2201"/>
      <c r="H25" s="2202"/>
      <c r="I25" s="2213"/>
    </row>
    <row r="26" spans="1:9" s="2165" customFormat="1" hidden="1" x14ac:dyDescent="0.25">
      <c r="A26" s="2166"/>
      <c r="B26" s="2161"/>
      <c r="C26" s="1022"/>
      <c r="D26" s="2162"/>
      <c r="E26" s="1061"/>
      <c r="F26" s="2200"/>
      <c r="G26" s="2201"/>
      <c r="H26" s="2202"/>
      <c r="I26" s="2213"/>
    </row>
    <row r="27" spans="1:9" s="2165" customFormat="1" ht="43.8" hidden="1" customHeight="1" x14ac:dyDescent="0.25">
      <c r="A27" s="2166"/>
      <c r="B27" s="2161" t="s">
        <v>760</v>
      </c>
      <c r="C27" s="1022"/>
      <c r="D27" s="2162"/>
      <c r="E27" s="1061"/>
      <c r="F27" s="2200"/>
      <c r="G27" s="2201"/>
      <c r="H27" s="2202"/>
      <c r="I27" s="2213"/>
    </row>
    <row r="28" spans="1:9" s="2165" customFormat="1" hidden="1" x14ac:dyDescent="0.25">
      <c r="A28" s="2166"/>
      <c r="B28" s="2161"/>
      <c r="C28" s="1022"/>
      <c r="D28" s="2162"/>
      <c r="E28" s="1061"/>
      <c r="F28" s="2200"/>
      <c r="G28" s="2201"/>
      <c r="H28" s="2202"/>
      <c r="I28" s="2213"/>
    </row>
    <row r="29" spans="1:9" s="2165" customFormat="1" ht="102" hidden="1" customHeight="1" x14ac:dyDescent="0.25">
      <c r="A29" s="2166"/>
      <c r="B29" s="2161" t="s">
        <v>761</v>
      </c>
      <c r="C29" s="1022"/>
      <c r="D29" s="2162"/>
      <c r="E29" s="1061"/>
      <c r="F29" s="2200"/>
      <c r="G29" s="2201"/>
      <c r="H29" s="2202"/>
      <c r="I29" s="2213"/>
    </row>
    <row r="30" spans="1:9" s="2165" customFormat="1" hidden="1" x14ac:dyDescent="0.25">
      <c r="A30" s="2166"/>
      <c r="B30" s="2161"/>
      <c r="C30" s="1022"/>
      <c r="D30" s="2162"/>
      <c r="E30" s="1061"/>
      <c r="F30" s="2200"/>
      <c r="G30" s="2201"/>
      <c r="H30" s="2202"/>
      <c r="I30" s="2213"/>
    </row>
    <row r="31" spans="1:9" s="2165" customFormat="1" ht="27.6" hidden="1" x14ac:dyDescent="0.25">
      <c r="A31" s="2166">
        <f>A11+0.01</f>
        <v>0.03</v>
      </c>
      <c r="B31" s="2161" t="s">
        <v>780</v>
      </c>
      <c r="C31" s="1022" t="s">
        <v>1159</v>
      </c>
      <c r="D31" s="2162">
        <v>1</v>
      </c>
      <c r="E31" s="1061" t="s">
        <v>13</v>
      </c>
      <c r="F31" s="2200"/>
      <c r="G31" s="2201"/>
      <c r="H31" s="2202"/>
      <c r="I31" s="2213"/>
    </row>
    <row r="32" spans="1:9" s="2165" customFormat="1" hidden="1" x14ac:dyDescent="0.25">
      <c r="A32" s="2166"/>
      <c r="B32" s="2161"/>
      <c r="C32" s="1022"/>
      <c r="D32" s="2162"/>
      <c r="E32" s="1061"/>
      <c r="F32" s="2200"/>
      <c r="G32" s="2201"/>
      <c r="H32" s="2202"/>
      <c r="I32" s="2213"/>
    </row>
    <row r="33" spans="1:10" s="2165" customFormat="1" hidden="1" x14ac:dyDescent="0.25">
      <c r="A33" s="2166"/>
      <c r="B33" s="2161" t="s">
        <v>762</v>
      </c>
      <c r="C33" s="1022"/>
      <c r="D33" s="2162"/>
      <c r="E33" s="1061"/>
      <c r="F33" s="2200"/>
      <c r="G33" s="2201"/>
      <c r="H33" s="2202"/>
      <c r="I33" s="2213"/>
    </row>
    <row r="34" spans="1:10" s="2165" customFormat="1" hidden="1" x14ac:dyDescent="0.25">
      <c r="A34" s="2166"/>
      <c r="B34" s="2161" t="s">
        <v>763</v>
      </c>
      <c r="C34" s="1022"/>
      <c r="D34" s="2162"/>
      <c r="E34" s="1061"/>
      <c r="F34" s="2200"/>
      <c r="G34" s="2201"/>
      <c r="H34" s="2202"/>
      <c r="I34" s="2213"/>
    </row>
    <row r="35" spans="1:10" s="2165" customFormat="1" ht="27.6" hidden="1" x14ac:dyDescent="0.25">
      <c r="A35" s="2166"/>
      <c r="B35" s="2161" t="s">
        <v>1145</v>
      </c>
      <c r="C35" s="1022"/>
      <c r="D35" s="2162"/>
      <c r="E35" s="1061"/>
      <c r="F35" s="2200"/>
      <c r="G35" s="2201"/>
      <c r="H35" s="2202"/>
      <c r="I35" s="2213"/>
    </row>
    <row r="36" spans="1:10" s="2165" customFormat="1" hidden="1" x14ac:dyDescent="0.25">
      <c r="A36" s="2170">
        <v>2</v>
      </c>
      <c r="B36" s="2172" t="s">
        <v>764</v>
      </c>
      <c r="C36" s="2181"/>
      <c r="D36" s="2162"/>
      <c r="E36" s="1061"/>
      <c r="F36" s="2203"/>
      <c r="G36" s="2204"/>
      <c r="H36" s="2205"/>
      <c r="I36" s="2214"/>
    </row>
    <row r="37" spans="1:10" s="2165" customFormat="1" hidden="1" x14ac:dyDescent="0.25">
      <c r="A37" s="2166"/>
      <c r="B37" s="2161"/>
      <c r="C37" s="1022"/>
      <c r="D37" s="2162"/>
      <c r="E37" s="1061"/>
      <c r="F37" s="2200"/>
      <c r="G37" s="2201"/>
      <c r="H37" s="2202"/>
      <c r="I37" s="2213"/>
    </row>
    <row r="38" spans="1:10" s="2165" customFormat="1" ht="82.8" hidden="1" x14ac:dyDescent="0.25">
      <c r="A38" s="2166">
        <f>A36+0.01</f>
        <v>2.0099999999999998</v>
      </c>
      <c r="B38" s="2161" t="s">
        <v>1341</v>
      </c>
      <c r="C38" s="1022" t="s">
        <v>555</v>
      </c>
      <c r="D38" s="2162">
        <v>1</v>
      </c>
      <c r="E38" s="1061" t="s">
        <v>13</v>
      </c>
      <c r="F38" s="2200"/>
      <c r="G38" s="2201"/>
      <c r="H38" s="2202"/>
      <c r="I38" s="2213"/>
      <c r="J38" s="2173"/>
    </row>
    <row r="39" spans="1:10" s="2165" customFormat="1" hidden="1" x14ac:dyDescent="0.25">
      <c r="A39" s="2166"/>
      <c r="B39" s="2161" t="s">
        <v>765</v>
      </c>
      <c r="C39" s="1022"/>
      <c r="D39" s="2162"/>
      <c r="E39" s="1061"/>
      <c r="F39" s="2200"/>
      <c r="G39" s="2201"/>
      <c r="H39" s="2202"/>
      <c r="I39" s="2213"/>
    </row>
    <row r="40" spans="1:10" s="2165" customFormat="1" ht="27.6" hidden="1" x14ac:dyDescent="0.25">
      <c r="A40" s="2166"/>
      <c r="B40" s="2161" t="s">
        <v>1295</v>
      </c>
      <c r="C40" s="1022"/>
      <c r="D40" s="2162"/>
      <c r="E40" s="1061"/>
      <c r="F40" s="2200"/>
      <c r="G40" s="2201"/>
      <c r="H40" s="2202"/>
      <c r="I40" s="2213"/>
    </row>
    <row r="41" spans="1:10" s="2165" customFormat="1" ht="27.6" hidden="1" x14ac:dyDescent="0.25">
      <c r="A41" s="2166"/>
      <c r="B41" s="2161" t="s">
        <v>1296</v>
      </c>
      <c r="C41" s="1022"/>
      <c r="D41" s="2162"/>
      <c r="E41" s="1061"/>
      <c r="F41" s="2200"/>
      <c r="G41" s="2201"/>
      <c r="H41" s="2202"/>
      <c r="I41" s="2213"/>
    </row>
    <row r="42" spans="1:10" s="2165" customFormat="1" ht="27.6" hidden="1" x14ac:dyDescent="0.25">
      <c r="A42" s="2166"/>
      <c r="B42" s="2161" t="s">
        <v>1340</v>
      </c>
      <c r="C42" s="1022"/>
      <c r="D42" s="2162"/>
      <c r="E42" s="1061"/>
      <c r="F42" s="2200"/>
      <c r="G42" s="2201"/>
      <c r="H42" s="2202"/>
      <c r="I42" s="2213"/>
    </row>
    <row r="43" spans="1:10" s="2165" customFormat="1" hidden="1" x14ac:dyDescent="0.25">
      <c r="A43" s="2166"/>
      <c r="B43" s="2161" t="s">
        <v>1242</v>
      </c>
      <c r="C43" s="1022"/>
      <c r="D43" s="2162"/>
      <c r="E43" s="1061"/>
      <c r="F43" s="2200"/>
      <c r="G43" s="2201"/>
      <c r="H43" s="2202"/>
      <c r="I43" s="2213"/>
    </row>
    <row r="44" spans="1:10" s="2165" customFormat="1" ht="27.6" hidden="1" x14ac:dyDescent="0.25">
      <c r="A44" s="2166"/>
      <c r="B44" s="2161" t="s">
        <v>1297</v>
      </c>
      <c r="C44" s="1022"/>
      <c r="D44" s="2162"/>
      <c r="E44" s="1061"/>
      <c r="F44" s="2200"/>
      <c r="G44" s="2201"/>
      <c r="H44" s="2202"/>
      <c r="I44" s="2213"/>
    </row>
    <row r="45" spans="1:10" s="2165" customFormat="1" hidden="1" x14ac:dyDescent="0.25">
      <c r="A45" s="2166"/>
      <c r="B45" s="2161" t="s">
        <v>1338</v>
      </c>
      <c r="C45" s="1022"/>
      <c r="D45" s="2162"/>
      <c r="E45" s="1061"/>
      <c r="F45" s="2200"/>
      <c r="G45" s="2201"/>
      <c r="H45" s="2202"/>
      <c r="I45" s="2213"/>
    </row>
    <row r="46" spans="1:10" s="2165" customFormat="1" hidden="1" x14ac:dyDescent="0.25">
      <c r="A46" s="2166"/>
      <c r="B46" s="2161" t="s">
        <v>1339</v>
      </c>
      <c r="C46" s="1022"/>
      <c r="D46" s="2162"/>
      <c r="E46" s="1061"/>
      <c r="F46" s="2200"/>
      <c r="G46" s="2201"/>
      <c r="H46" s="2202"/>
      <c r="I46" s="2213"/>
    </row>
    <row r="47" spans="1:10" s="2165" customFormat="1" hidden="1" x14ac:dyDescent="0.25">
      <c r="A47" s="2166"/>
      <c r="B47" s="2161" t="s">
        <v>1346</v>
      </c>
      <c r="C47" s="1022"/>
      <c r="D47" s="2162"/>
      <c r="E47" s="1061"/>
      <c r="F47" s="2200"/>
      <c r="G47" s="2201"/>
      <c r="H47" s="2202"/>
      <c r="I47" s="2213"/>
    </row>
    <row r="48" spans="1:10" s="2165" customFormat="1" hidden="1" x14ac:dyDescent="0.25">
      <c r="A48" s="2166"/>
      <c r="B48" s="2161"/>
      <c r="C48" s="1022"/>
      <c r="D48" s="2162"/>
      <c r="E48" s="1061"/>
      <c r="F48" s="2200"/>
      <c r="G48" s="2201"/>
      <c r="H48" s="2202"/>
      <c r="I48" s="2213"/>
    </row>
    <row r="49" spans="1:9" s="2165" customFormat="1" x14ac:dyDescent="0.25">
      <c r="A49" s="2170" t="s">
        <v>2711</v>
      </c>
      <c r="B49" s="2172" t="s">
        <v>766</v>
      </c>
      <c r="C49" s="2181"/>
      <c r="D49" s="2162"/>
      <c r="E49" s="1061"/>
      <c r="F49" s="2195"/>
      <c r="G49" s="1917"/>
      <c r="H49" s="2286"/>
      <c r="I49" s="2196"/>
    </row>
    <row r="50" spans="1:9" s="2165" customFormat="1" x14ac:dyDescent="0.25">
      <c r="A50" s="2166"/>
      <c r="B50" s="2161"/>
      <c r="C50" s="1022"/>
      <c r="D50" s="2162"/>
      <c r="E50" s="1061"/>
      <c r="F50" s="2195"/>
      <c r="G50" s="1917"/>
      <c r="H50" s="2286"/>
      <c r="I50" s="2196"/>
    </row>
    <row r="51" spans="1:9" s="2165" customFormat="1" ht="82.8" x14ac:dyDescent="0.25">
      <c r="A51" s="2166"/>
      <c r="B51" s="2161" t="s">
        <v>1855</v>
      </c>
      <c r="C51" s="1022" t="s">
        <v>555</v>
      </c>
      <c r="D51" s="2162">
        <v>1</v>
      </c>
      <c r="E51" s="1061" t="s">
        <v>13</v>
      </c>
      <c r="F51" s="2195">
        <v>175000</v>
      </c>
      <c r="G51" s="1917">
        <f>+$J$1</f>
        <v>0.75</v>
      </c>
      <c r="H51" s="2286">
        <f>ROUNDUP(F51/G51,-1)</f>
        <v>233340</v>
      </c>
      <c r="I51" s="2196">
        <f>+H51*D51</f>
        <v>233340</v>
      </c>
    </row>
    <row r="52" spans="1:9" s="2165" customFormat="1" x14ac:dyDescent="0.25">
      <c r="A52" s="2166"/>
      <c r="B52" s="2161"/>
      <c r="C52" s="1022"/>
      <c r="D52" s="2162"/>
      <c r="E52" s="1061"/>
      <c r="F52" s="2195"/>
      <c r="G52" s="1917"/>
      <c r="H52" s="2286"/>
      <c r="I52" s="2196"/>
    </row>
    <row r="53" spans="1:9" s="2165" customFormat="1" ht="88.8" hidden="1" customHeight="1" x14ac:dyDescent="0.25">
      <c r="A53" s="2166">
        <f>A51+0.01</f>
        <v>0.01</v>
      </c>
      <c r="B53" s="2161" t="s">
        <v>2442</v>
      </c>
      <c r="C53" s="1022" t="s">
        <v>555</v>
      </c>
      <c r="D53" s="2162">
        <v>1</v>
      </c>
      <c r="E53" s="1061" t="s">
        <v>13</v>
      </c>
      <c r="F53" s="2195"/>
      <c r="G53" s="1917"/>
      <c r="H53" s="2286"/>
      <c r="I53" s="2196"/>
    </row>
    <row r="54" spans="1:9" s="2165" customFormat="1" hidden="1" x14ac:dyDescent="0.25">
      <c r="A54" s="2166"/>
      <c r="B54" s="2161"/>
      <c r="C54" s="1022"/>
      <c r="D54" s="2162"/>
      <c r="E54" s="1061"/>
      <c r="F54" s="2195"/>
      <c r="G54" s="1917"/>
      <c r="H54" s="2286"/>
      <c r="I54" s="2196"/>
    </row>
    <row r="55" spans="1:9" s="2165" customFormat="1" ht="27.6" hidden="1" x14ac:dyDescent="0.25">
      <c r="A55" s="2166">
        <f>A53+0.01</f>
        <v>0.02</v>
      </c>
      <c r="B55" s="2161" t="s">
        <v>1244</v>
      </c>
      <c r="C55" s="1022" t="s">
        <v>555</v>
      </c>
      <c r="D55" s="2162">
        <v>1</v>
      </c>
      <c r="E55" s="1061" t="s">
        <v>13</v>
      </c>
      <c r="F55" s="2195"/>
      <c r="G55" s="1917"/>
      <c r="H55" s="2286"/>
      <c r="I55" s="2196"/>
    </row>
    <row r="56" spans="1:9" s="2165" customFormat="1" hidden="1" x14ac:dyDescent="0.25">
      <c r="A56" s="2166"/>
      <c r="B56" s="2161"/>
      <c r="C56" s="1022"/>
      <c r="D56" s="2162"/>
      <c r="E56" s="1061"/>
      <c r="F56" s="2195"/>
      <c r="G56" s="1917"/>
      <c r="H56" s="2286"/>
      <c r="I56" s="2196"/>
    </row>
    <row r="57" spans="1:9" s="2165" customFormat="1" hidden="1" x14ac:dyDescent="0.25">
      <c r="A57" s="2170">
        <v>3</v>
      </c>
      <c r="B57" s="2172" t="s">
        <v>767</v>
      </c>
      <c r="C57" s="2181"/>
      <c r="D57" s="2162"/>
      <c r="E57" s="1061"/>
      <c r="F57" s="2195"/>
      <c r="G57" s="1917"/>
      <c r="H57" s="2286"/>
      <c r="I57" s="2196"/>
    </row>
    <row r="58" spans="1:9" s="2165" customFormat="1" hidden="1" x14ac:dyDescent="0.25">
      <c r="A58" s="2166"/>
      <c r="B58" s="2161"/>
      <c r="C58" s="1022"/>
      <c r="D58" s="2162"/>
      <c r="E58" s="1061"/>
      <c r="F58" s="2195"/>
      <c r="G58" s="1917"/>
      <c r="H58" s="2286"/>
      <c r="I58" s="2196"/>
    </row>
    <row r="59" spans="1:9" s="2165" customFormat="1" ht="41.4" hidden="1" x14ac:dyDescent="0.25">
      <c r="A59" s="2166">
        <f>A57+0.01</f>
        <v>3.01</v>
      </c>
      <c r="B59" s="2161" t="s">
        <v>768</v>
      </c>
      <c r="C59" s="1022" t="s">
        <v>557</v>
      </c>
      <c r="D59" s="2162">
        <v>1</v>
      </c>
      <c r="E59" s="1061" t="s">
        <v>13</v>
      </c>
      <c r="F59" s="2195"/>
      <c r="G59" s="1917"/>
      <c r="H59" s="2286"/>
      <c r="I59" s="2196"/>
    </row>
    <row r="60" spans="1:9" s="2165" customFormat="1" hidden="1" x14ac:dyDescent="0.25">
      <c r="A60" s="2166"/>
      <c r="B60" s="2161" t="s">
        <v>1361</v>
      </c>
      <c r="C60" s="1022"/>
      <c r="D60" s="2162"/>
      <c r="E60" s="1061"/>
      <c r="F60" s="2195"/>
      <c r="G60" s="1917"/>
      <c r="H60" s="2286"/>
      <c r="I60" s="2196"/>
    </row>
    <row r="61" spans="1:9" s="2165" customFormat="1" hidden="1" x14ac:dyDescent="0.25">
      <c r="A61" s="2166"/>
      <c r="B61" s="2161" t="s">
        <v>1335</v>
      </c>
      <c r="C61" s="1022"/>
      <c r="D61" s="2162"/>
      <c r="E61" s="1061"/>
      <c r="F61" s="2195"/>
      <c r="G61" s="1917"/>
      <c r="H61" s="2286"/>
      <c r="I61" s="2196"/>
    </row>
    <row r="62" spans="1:9" s="2165" customFormat="1" ht="27.6" hidden="1" x14ac:dyDescent="0.25">
      <c r="A62" s="2166"/>
      <c r="B62" s="2161" t="s">
        <v>1336</v>
      </c>
      <c r="C62" s="1022"/>
      <c r="D62" s="2162"/>
      <c r="E62" s="1061"/>
      <c r="F62" s="2195"/>
      <c r="G62" s="1917"/>
      <c r="H62" s="2286"/>
      <c r="I62" s="2196"/>
    </row>
    <row r="63" spans="1:9" s="2165" customFormat="1" ht="27.6" hidden="1" x14ac:dyDescent="0.25">
      <c r="A63" s="2166"/>
      <c r="B63" s="2161" t="s">
        <v>1337</v>
      </c>
      <c r="C63" s="1022"/>
      <c r="D63" s="2162"/>
      <c r="E63" s="1061"/>
      <c r="F63" s="2195"/>
      <c r="G63" s="1917"/>
      <c r="H63" s="2286"/>
      <c r="I63" s="2196"/>
    </row>
    <row r="64" spans="1:9" s="2165" customFormat="1" hidden="1" x14ac:dyDescent="0.25">
      <c r="A64" s="2166"/>
      <c r="B64" s="2161" t="s">
        <v>1243</v>
      </c>
      <c r="C64" s="1022"/>
      <c r="D64" s="2162"/>
      <c r="E64" s="1061"/>
      <c r="F64" s="2195"/>
      <c r="G64" s="1917"/>
      <c r="H64" s="2286"/>
      <c r="I64" s="2196"/>
    </row>
    <row r="65" spans="1:9" s="2165" customFormat="1" hidden="1" x14ac:dyDescent="0.25">
      <c r="A65" s="2166"/>
      <c r="B65" s="2161"/>
      <c r="C65" s="1022"/>
      <c r="D65" s="2162"/>
      <c r="E65" s="1061"/>
      <c r="F65" s="2195"/>
      <c r="G65" s="1917"/>
      <c r="H65" s="2286"/>
      <c r="I65" s="2196"/>
    </row>
    <row r="66" spans="1:9" s="2165" customFormat="1" x14ac:dyDescent="0.25">
      <c r="A66" s="2170" t="s">
        <v>2712</v>
      </c>
      <c r="B66" s="2172" t="s">
        <v>769</v>
      </c>
      <c r="C66" s="2181"/>
      <c r="D66" s="2162"/>
      <c r="E66" s="1061"/>
      <c r="F66" s="2195"/>
      <c r="G66" s="1917"/>
      <c r="H66" s="2286"/>
      <c r="I66" s="2196"/>
    </row>
    <row r="67" spans="1:9" s="2165" customFormat="1" x14ac:dyDescent="0.25">
      <c r="A67" s="2170"/>
      <c r="B67" s="2172"/>
      <c r="C67" s="2181"/>
      <c r="D67" s="2162"/>
      <c r="E67" s="1061"/>
      <c r="F67" s="2195"/>
      <c r="G67" s="1917"/>
      <c r="H67" s="2286"/>
      <c r="I67" s="2196"/>
    </row>
    <row r="68" spans="1:9" s="2165" customFormat="1" ht="69" x14ac:dyDescent="0.25">
      <c r="A68" s="2166"/>
      <c r="B68" s="2161" t="s">
        <v>1309</v>
      </c>
      <c r="C68" s="1022" t="s">
        <v>559</v>
      </c>
      <c r="D68" s="2162">
        <v>1</v>
      </c>
      <c r="E68" s="1061" t="s">
        <v>13</v>
      </c>
      <c r="F68" s="2195">
        <v>65000</v>
      </c>
      <c r="G68" s="1917">
        <f>+$J$1</f>
        <v>0.75</v>
      </c>
      <c r="H68" s="2286">
        <f>ROUNDUP(F68/G68,-1)</f>
        <v>86670</v>
      </c>
      <c r="I68" s="2196">
        <f>+H68*D68</f>
        <v>86670</v>
      </c>
    </row>
    <row r="69" spans="1:9" s="2165" customFormat="1" x14ac:dyDescent="0.25">
      <c r="A69" s="2166"/>
      <c r="B69" s="2161"/>
      <c r="C69" s="1022"/>
      <c r="D69" s="2162"/>
      <c r="E69" s="1061"/>
      <c r="F69" s="2195"/>
      <c r="G69" s="1917"/>
      <c r="H69" s="2286"/>
      <c r="I69" s="2196"/>
    </row>
    <row r="70" spans="1:9" s="2165" customFormat="1" x14ac:dyDescent="0.25">
      <c r="A70" s="2170" t="s">
        <v>2713</v>
      </c>
      <c r="B70" s="2172" t="s">
        <v>770</v>
      </c>
      <c r="C70" s="2181"/>
      <c r="D70" s="2162"/>
      <c r="E70" s="1061"/>
      <c r="F70" s="2195"/>
      <c r="G70" s="1917"/>
      <c r="H70" s="2286"/>
      <c r="I70" s="2196"/>
    </row>
    <row r="71" spans="1:9" s="2165" customFormat="1" x14ac:dyDescent="0.25">
      <c r="A71" s="2166"/>
      <c r="B71" s="2172"/>
      <c r="C71" s="2181"/>
      <c r="D71" s="2162"/>
      <c r="E71" s="1061"/>
      <c r="F71" s="2195"/>
      <c r="G71" s="1917"/>
      <c r="H71" s="2286"/>
      <c r="I71" s="2196"/>
    </row>
    <row r="72" spans="1:9" s="2165" customFormat="1" ht="75.599999999999994" hidden="1" customHeight="1" x14ac:dyDescent="0.25">
      <c r="A72" s="2166" t="e">
        <f>A70+0.01</f>
        <v>#VALUE!</v>
      </c>
      <c r="B72" s="2161" t="s">
        <v>2443</v>
      </c>
      <c r="C72" s="1022" t="s">
        <v>557</v>
      </c>
      <c r="D72" s="2162">
        <v>1</v>
      </c>
      <c r="E72" s="1061" t="s">
        <v>13</v>
      </c>
      <c r="F72" s="2195"/>
      <c r="G72" s="1917"/>
      <c r="H72" s="2286"/>
      <c r="I72" s="2196"/>
    </row>
    <row r="73" spans="1:9" s="2165" customFormat="1" hidden="1" x14ac:dyDescent="0.25">
      <c r="A73" s="2166"/>
      <c r="B73" s="2161"/>
      <c r="C73" s="1022"/>
      <c r="D73" s="2162"/>
      <c r="E73" s="1061"/>
      <c r="F73" s="2195"/>
      <c r="G73" s="1917"/>
      <c r="H73" s="2286"/>
      <c r="I73" s="2196"/>
    </row>
    <row r="74" spans="1:9" s="2165" customFormat="1" ht="73.2" hidden="1" customHeight="1" x14ac:dyDescent="0.25">
      <c r="A74" s="2166" t="e">
        <f>A70+0.01</f>
        <v>#VALUE!</v>
      </c>
      <c r="B74" s="2161" t="s">
        <v>2444</v>
      </c>
      <c r="C74" s="1022" t="s">
        <v>558</v>
      </c>
      <c r="D74" s="2162">
        <v>1</v>
      </c>
      <c r="E74" s="1061" t="s">
        <v>13</v>
      </c>
      <c r="F74" s="2195"/>
      <c r="G74" s="1917"/>
      <c r="H74" s="2286"/>
      <c r="I74" s="2196"/>
    </row>
    <row r="75" spans="1:9" s="2165" customFormat="1" hidden="1" x14ac:dyDescent="0.25">
      <c r="A75" s="2166"/>
      <c r="B75" s="2161"/>
      <c r="C75" s="1022"/>
      <c r="D75" s="2162"/>
      <c r="E75" s="1061"/>
      <c r="F75" s="2195"/>
      <c r="G75" s="1917"/>
      <c r="H75" s="2286"/>
      <c r="I75" s="2196"/>
    </row>
    <row r="76" spans="1:9" s="2165" customFormat="1" ht="55.2" x14ac:dyDescent="0.25">
      <c r="A76" s="2166"/>
      <c r="B76" s="1124" t="s">
        <v>1390</v>
      </c>
      <c r="C76" s="1022" t="s">
        <v>557</v>
      </c>
      <c r="D76" s="2162"/>
      <c r="E76" s="1061"/>
      <c r="F76" s="2195"/>
      <c r="G76" s="1917"/>
      <c r="H76" s="2286"/>
      <c r="I76" s="2196" t="s">
        <v>2512</v>
      </c>
    </row>
    <row r="77" spans="1:9" s="2165" customFormat="1" x14ac:dyDescent="0.25">
      <c r="A77" s="2166"/>
      <c r="B77" s="1124" t="s">
        <v>1310</v>
      </c>
      <c r="C77" s="1022"/>
      <c r="D77" s="2162"/>
      <c r="E77" s="1061"/>
      <c r="F77" s="2195"/>
      <c r="G77" s="1917"/>
      <c r="H77" s="2286"/>
      <c r="I77" s="2196"/>
    </row>
    <row r="78" spans="1:9" s="2165" customFormat="1" x14ac:dyDescent="0.25">
      <c r="A78" s="2166"/>
      <c r="B78" s="1124" t="s">
        <v>1311</v>
      </c>
      <c r="C78" s="1022"/>
      <c r="D78" s="2162"/>
      <c r="E78" s="1061"/>
      <c r="F78" s="2195"/>
      <c r="G78" s="1917"/>
      <c r="H78" s="2286"/>
      <c r="I78" s="2196"/>
    </row>
    <row r="79" spans="1:9" s="2165" customFormat="1" x14ac:dyDescent="0.25">
      <c r="A79" s="2166"/>
      <c r="B79" s="1124" t="s">
        <v>1385</v>
      </c>
      <c r="C79" s="1022"/>
      <c r="D79" s="2162"/>
      <c r="E79" s="1061"/>
      <c r="F79" s="2195"/>
      <c r="G79" s="1917"/>
      <c r="H79" s="2286"/>
      <c r="I79" s="2196"/>
    </row>
    <row r="80" spans="1:9" s="2165" customFormat="1" x14ac:dyDescent="0.25">
      <c r="A80" s="2166"/>
      <c r="B80" s="1124"/>
      <c r="C80" s="1022"/>
      <c r="D80" s="2162"/>
      <c r="E80" s="1061"/>
      <c r="F80" s="2195"/>
      <c r="G80" s="1917"/>
      <c r="H80" s="2286"/>
      <c r="I80" s="2196"/>
    </row>
    <row r="81" spans="1:16" s="2165" customFormat="1" x14ac:dyDescent="0.25">
      <c r="A81" s="2170" t="s">
        <v>2714</v>
      </c>
      <c r="B81" s="2171" t="s">
        <v>771</v>
      </c>
      <c r="C81" s="2180"/>
      <c r="D81" s="2162"/>
      <c r="E81" s="1061"/>
      <c r="F81" s="2195"/>
      <c r="G81" s="1917"/>
      <c r="H81" s="2286"/>
      <c r="I81" s="2196"/>
    </row>
    <row r="82" spans="1:16" s="2165" customFormat="1" x14ac:dyDescent="0.25">
      <c r="A82" s="2166"/>
      <c r="B82" s="2167"/>
      <c r="C82" s="1061"/>
      <c r="D82" s="2162"/>
      <c r="E82" s="1061"/>
      <c r="F82" s="2195"/>
      <c r="G82" s="1917"/>
      <c r="H82" s="2286"/>
      <c r="I82" s="2196"/>
    </row>
    <row r="83" spans="1:16" s="2165" customFormat="1" ht="69" hidden="1" x14ac:dyDescent="0.25">
      <c r="A83" s="2166" t="e">
        <f>A81+0.01</f>
        <v>#VALUE!</v>
      </c>
      <c r="B83" s="2161" t="s">
        <v>2445</v>
      </c>
      <c r="C83" s="1022" t="s">
        <v>557</v>
      </c>
      <c r="D83" s="2162">
        <v>1</v>
      </c>
      <c r="E83" s="1061" t="s">
        <v>13</v>
      </c>
      <c r="F83" s="2195"/>
      <c r="G83" s="1917"/>
      <c r="H83" s="2286"/>
      <c r="I83" s="2196"/>
    </row>
    <row r="84" spans="1:16" s="2165" customFormat="1" hidden="1" x14ac:dyDescent="0.25">
      <c r="A84" s="2166"/>
      <c r="B84" s="2167"/>
      <c r="C84" s="1061"/>
      <c r="D84" s="2162"/>
      <c r="E84" s="1061"/>
      <c r="F84" s="2195"/>
      <c r="G84" s="1917"/>
      <c r="H84" s="2286"/>
      <c r="I84" s="2196"/>
    </row>
    <row r="85" spans="1:16" s="2165" customFormat="1" ht="41.4" x14ac:dyDescent="0.25">
      <c r="A85" s="2166" t="s">
        <v>2715</v>
      </c>
      <c r="B85" s="2161" t="s">
        <v>772</v>
      </c>
      <c r="C85" s="1022" t="s">
        <v>557</v>
      </c>
      <c r="D85" s="2162">
        <v>10</v>
      </c>
      <c r="E85" s="1061" t="s">
        <v>2513</v>
      </c>
      <c r="F85" s="2195">
        <v>15000</v>
      </c>
      <c r="G85" s="1917">
        <f>+$J$1</f>
        <v>0.75</v>
      </c>
      <c r="H85" s="2286">
        <f>ROUNDUP(F85/G85,-1)</f>
        <v>20000</v>
      </c>
      <c r="I85" s="2196">
        <f>+H85*D85</f>
        <v>200000</v>
      </c>
    </row>
    <row r="86" spans="1:16" s="2165" customFormat="1" x14ac:dyDescent="0.25">
      <c r="A86" s="2166"/>
      <c r="B86" s="2167"/>
      <c r="C86" s="1061"/>
      <c r="D86" s="2162"/>
      <c r="E86" s="1061"/>
      <c r="F86" s="2195"/>
      <c r="G86" s="1917"/>
      <c r="H86" s="2286"/>
      <c r="I86" s="2196"/>
    </row>
    <row r="87" spans="1:16" s="2165" customFormat="1" ht="41.4" x14ac:dyDescent="0.25">
      <c r="A87" s="2166" t="s">
        <v>2716</v>
      </c>
      <c r="B87" s="2161" t="s">
        <v>2446</v>
      </c>
      <c r="C87" s="1022" t="s">
        <v>559</v>
      </c>
      <c r="D87" s="2162">
        <v>10</v>
      </c>
      <c r="E87" s="1061" t="s">
        <v>2695</v>
      </c>
      <c r="F87" s="2195">
        <v>18000</v>
      </c>
      <c r="G87" s="1917">
        <f>+$J$1</f>
        <v>0.75</v>
      </c>
      <c r="H87" s="2286">
        <f>ROUNDUP(F87/G87,-1)</f>
        <v>24000</v>
      </c>
      <c r="I87" s="2196">
        <f>+H87*D87</f>
        <v>240000</v>
      </c>
    </row>
    <row r="88" spans="1:16" s="2165" customFormat="1" hidden="1" x14ac:dyDescent="0.25">
      <c r="A88" s="2166" t="e">
        <f>A87+0.01</f>
        <v>#VALUE!</v>
      </c>
      <c r="B88" s="2161" t="s">
        <v>2447</v>
      </c>
      <c r="C88" s="1022" t="s">
        <v>559</v>
      </c>
      <c r="D88" s="2162">
        <v>1</v>
      </c>
      <c r="E88" s="1061" t="s">
        <v>13</v>
      </c>
      <c r="F88" s="2195"/>
      <c r="G88" s="1917"/>
      <c r="H88" s="2286"/>
      <c r="I88" s="2196"/>
    </row>
    <row r="89" spans="1:16" s="2165" customFormat="1" hidden="1" x14ac:dyDescent="0.25">
      <c r="A89" s="2166"/>
      <c r="B89" s="2161"/>
      <c r="C89" s="1022"/>
      <c r="D89" s="2162"/>
      <c r="E89" s="1061"/>
      <c r="F89" s="2195"/>
      <c r="G89" s="1917"/>
      <c r="H89" s="2286"/>
      <c r="I89" s="2196"/>
    </row>
    <row r="90" spans="1:16" s="2165" customFormat="1" ht="90.6" hidden="1" customHeight="1" x14ac:dyDescent="0.25">
      <c r="A90" s="2166" t="e">
        <f>A87+0.01</f>
        <v>#VALUE!</v>
      </c>
      <c r="B90" s="2161" t="s">
        <v>2448</v>
      </c>
      <c r="C90" s="1022" t="s">
        <v>557</v>
      </c>
      <c r="D90" s="2162">
        <v>1</v>
      </c>
      <c r="E90" s="1061" t="s">
        <v>13</v>
      </c>
      <c r="F90" s="2195"/>
      <c r="G90" s="1917"/>
      <c r="H90" s="2286"/>
      <c r="I90" s="2196"/>
    </row>
    <row r="91" spans="1:16" s="2165" customFormat="1" x14ac:dyDescent="0.25">
      <c r="A91" s="2166"/>
      <c r="B91" s="2161"/>
      <c r="C91" s="1022"/>
      <c r="D91" s="2162"/>
      <c r="E91" s="1061"/>
      <c r="F91" s="2195"/>
      <c r="G91" s="1917"/>
      <c r="H91" s="2286"/>
      <c r="I91" s="2196"/>
    </row>
    <row r="92" spans="1:16" s="2165" customFormat="1" hidden="1" x14ac:dyDescent="0.25">
      <c r="A92" s="2170">
        <v>6</v>
      </c>
      <c r="B92" s="2171" t="s">
        <v>2449</v>
      </c>
      <c r="C92" s="2180"/>
      <c r="D92" s="2162"/>
      <c r="E92" s="1061"/>
      <c r="F92" s="2195"/>
      <c r="G92" s="1917"/>
      <c r="H92" s="2286"/>
      <c r="I92" s="2196"/>
    </row>
    <row r="93" spans="1:16" s="2165" customFormat="1" hidden="1" x14ac:dyDescent="0.25">
      <c r="A93" s="2166"/>
      <c r="B93" s="2167"/>
      <c r="C93" s="1061"/>
      <c r="D93" s="2162"/>
      <c r="E93" s="1061"/>
      <c r="F93" s="2195"/>
      <c r="G93" s="1917"/>
      <c r="H93" s="2286"/>
      <c r="I93" s="2196"/>
    </row>
    <row r="94" spans="1:16" s="2165" customFormat="1" ht="55.2" hidden="1" x14ac:dyDescent="0.25">
      <c r="A94" s="2166">
        <f>A92+0.01</f>
        <v>6.01</v>
      </c>
      <c r="B94" s="2161" t="s">
        <v>2450</v>
      </c>
      <c r="C94" s="1022" t="s">
        <v>557</v>
      </c>
      <c r="D94" s="2162">
        <v>1</v>
      </c>
      <c r="E94" s="1061" t="s">
        <v>13</v>
      </c>
      <c r="F94" s="2195"/>
      <c r="G94" s="1917"/>
      <c r="H94" s="2286"/>
      <c r="I94" s="2196"/>
    </row>
    <row r="95" spans="1:16" s="2165" customFormat="1" ht="75.599999999999994" hidden="1" customHeight="1" x14ac:dyDescent="0.25">
      <c r="A95" s="2166">
        <f>A94+0.01</f>
        <v>6.02</v>
      </c>
      <c r="B95" s="2161" t="s">
        <v>2445</v>
      </c>
      <c r="C95" s="1022" t="s">
        <v>557</v>
      </c>
      <c r="D95" s="2162">
        <v>1</v>
      </c>
      <c r="E95" s="1061" t="s">
        <v>13</v>
      </c>
      <c r="F95" s="2195"/>
      <c r="G95" s="1917"/>
      <c r="H95" s="2286"/>
      <c r="I95" s="2196"/>
      <c r="P95" s="2165">
        <f>O95*250</f>
        <v>0</v>
      </c>
    </row>
    <row r="96" spans="1:16" s="2165" customFormat="1" x14ac:dyDescent="0.25">
      <c r="A96" s="2170" t="s">
        <v>2717</v>
      </c>
      <c r="B96" s="2171" t="s">
        <v>773</v>
      </c>
      <c r="C96" s="2180"/>
      <c r="D96" s="2162"/>
      <c r="E96" s="1061"/>
      <c r="F96" s="2195"/>
      <c r="G96" s="1917"/>
      <c r="H96" s="2286"/>
      <c r="I96" s="2196"/>
    </row>
    <row r="97" spans="1:9" s="2165" customFormat="1" x14ac:dyDescent="0.25">
      <c r="A97" s="2166"/>
      <c r="B97" s="2167"/>
      <c r="C97" s="1061"/>
      <c r="D97" s="2162"/>
      <c r="E97" s="1061"/>
      <c r="F97" s="2195"/>
      <c r="G97" s="1917"/>
      <c r="H97" s="2286"/>
      <c r="I97" s="2196"/>
    </row>
    <row r="98" spans="1:9" s="2165" customFormat="1" ht="55.2" x14ac:dyDescent="0.25">
      <c r="A98" s="2166" t="s">
        <v>2718</v>
      </c>
      <c r="B98" s="2161" t="s">
        <v>774</v>
      </c>
      <c r="C98" s="1022" t="s">
        <v>557</v>
      </c>
      <c r="D98" s="2162"/>
      <c r="E98" s="1061"/>
      <c r="F98" s="1917"/>
      <c r="G98" s="1917"/>
      <c r="H98" s="2286"/>
      <c r="I98" s="2213" t="s">
        <v>2514</v>
      </c>
    </row>
    <row r="99" spans="1:9" s="2165" customFormat="1" x14ac:dyDescent="0.25">
      <c r="A99" s="2166"/>
      <c r="B99" s="2167"/>
      <c r="C99" s="1061"/>
      <c r="D99" s="2162"/>
      <c r="E99" s="1061"/>
      <c r="F99" s="1916"/>
      <c r="G99" s="1917"/>
      <c r="H99" s="2286"/>
      <c r="I99" s="2196"/>
    </row>
    <row r="100" spans="1:9" s="2165" customFormat="1" ht="55.2" x14ac:dyDescent="0.25">
      <c r="A100" s="2166" t="s">
        <v>2719</v>
      </c>
      <c r="B100" s="2161" t="s">
        <v>775</v>
      </c>
      <c r="C100" s="1022" t="s">
        <v>557</v>
      </c>
      <c r="D100" s="2162"/>
      <c r="E100" s="1061"/>
      <c r="F100" s="1917"/>
      <c r="G100" s="1917"/>
      <c r="H100" s="2286"/>
      <c r="I100" s="2213" t="s">
        <v>2514</v>
      </c>
    </row>
    <row r="101" spans="1:9" s="2165" customFormat="1" ht="82.8" hidden="1" x14ac:dyDescent="0.25">
      <c r="A101" s="2166" t="e">
        <f>A100+0.01</f>
        <v>#VALUE!</v>
      </c>
      <c r="B101" s="2161" t="s">
        <v>1298</v>
      </c>
      <c r="C101" s="1022" t="s">
        <v>558</v>
      </c>
      <c r="D101" s="2162">
        <v>1</v>
      </c>
      <c r="E101" s="1061" t="s">
        <v>13</v>
      </c>
      <c r="F101" s="2195"/>
      <c r="G101" s="1917"/>
      <c r="H101" s="2286"/>
      <c r="I101" s="2196"/>
    </row>
    <row r="102" spans="1:9" s="2165" customFormat="1" hidden="1" x14ac:dyDescent="0.25">
      <c r="A102" s="2166"/>
      <c r="B102" s="2161"/>
      <c r="C102" s="1022"/>
      <c r="D102" s="2162"/>
      <c r="E102" s="1061"/>
      <c r="F102" s="2195"/>
      <c r="G102" s="1917"/>
      <c r="H102" s="2286"/>
      <c r="I102" s="2196"/>
    </row>
    <row r="103" spans="1:9" s="2165" customFormat="1" ht="62.4" hidden="1" customHeight="1" x14ac:dyDescent="0.25">
      <c r="A103" s="2166" t="e">
        <f>A101+0.01</f>
        <v>#VALUE!</v>
      </c>
      <c r="B103" s="2161" t="s">
        <v>2451</v>
      </c>
      <c r="C103" s="1022" t="s">
        <v>559</v>
      </c>
      <c r="D103" s="2162">
        <v>1</v>
      </c>
      <c r="E103" s="1061" t="s">
        <v>13</v>
      </c>
      <c r="F103" s="2195"/>
      <c r="G103" s="1917"/>
      <c r="H103" s="2286"/>
      <c r="I103" s="2196"/>
    </row>
    <row r="104" spans="1:9" s="2165" customFormat="1" ht="14.4" thickBot="1" x14ac:dyDescent="0.3">
      <c r="A104" s="2166"/>
      <c r="B104" s="2161"/>
      <c r="C104" s="1022"/>
      <c r="D104" s="2162"/>
      <c r="E104" s="1061"/>
      <c r="F104" s="2195"/>
      <c r="G104" s="1917"/>
      <c r="H104" s="2286"/>
      <c r="I104" s="2196"/>
    </row>
    <row r="105" spans="1:9" s="2165" customFormat="1" ht="34.200000000000003" customHeight="1" thickBot="1" x14ac:dyDescent="0.3">
      <c r="A105" s="2174"/>
      <c r="B105" s="2175" t="s">
        <v>2720</v>
      </c>
      <c r="C105" s="2190"/>
      <c r="D105" s="2187"/>
      <c r="E105" s="2182"/>
      <c r="F105" s="2206"/>
      <c r="G105" s="2207"/>
      <c r="H105" s="2208"/>
      <c r="I105" s="2209">
        <f>SUM(I3:I104)</f>
        <v>760010</v>
      </c>
    </row>
    <row r="106" spans="1:9" x14ac:dyDescent="0.25">
      <c r="B106" s="2177"/>
      <c r="C106" s="2183"/>
      <c r="D106" s="2188"/>
      <c r="E106" s="2183"/>
    </row>
  </sheetData>
  <pageMargins left="0.51181102362204722" right="0.31496062992125984" top="0.6692913385826772" bottom="0.23622047244094491" header="0.19685039370078741" footer="0.31496062992125984"/>
  <pageSetup scale="88" orientation="portrait" r:id="rId1"/>
  <headerFooter alignWithMargins="0">
    <oddFooter>&amp;C&amp;P</oddFooter>
  </headerFooter>
  <colBreaks count="1" manualBreakCount="1">
    <brk id="9" max="1048575" man="1"/>
  </col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A1:K77"/>
  <sheetViews>
    <sheetView view="pageBreakPreview" zoomScaleNormal="85" zoomScaleSheetLayoutView="100" workbookViewId="0">
      <pane ySplit="1" topLeftCell="A35" activePane="bottomLeft" state="frozen"/>
      <selection activeCell="A15" sqref="A15:G15"/>
      <selection pane="bottomLeft" activeCell="B2" sqref="B2"/>
    </sheetView>
  </sheetViews>
  <sheetFormatPr defaultColWidth="9.21875" defaultRowHeight="13.8" x14ac:dyDescent="0.25"/>
  <cols>
    <col min="1" max="1" width="4.88671875" style="38" bestFit="1" customWidth="1"/>
    <col min="2" max="2" width="49.44140625" style="36" customWidth="1"/>
    <col min="3" max="3" width="9.109375" style="39" bestFit="1" customWidth="1"/>
    <col min="4" max="4" width="5.77734375" style="38" bestFit="1" customWidth="1"/>
    <col min="5" max="6" width="10.88671875" style="1895" hidden="1" customWidth="1"/>
    <col min="7" max="7" width="11.44140625" style="202" bestFit="1" customWidth="1"/>
    <col min="8" max="8" width="11.6640625" style="39" bestFit="1" customWidth="1"/>
    <col min="9" max="9" width="9.44140625" style="39" customWidth="1"/>
    <col min="10" max="10" width="9.21875" style="24"/>
    <col min="11" max="11" width="12.44140625" style="24" bestFit="1" customWidth="1"/>
    <col min="12" max="12" width="10" style="24" bestFit="1" customWidth="1"/>
    <col min="13" max="13" width="11" style="24" bestFit="1" customWidth="1"/>
    <col min="14" max="15" width="12.88671875" style="24" bestFit="1" customWidth="1"/>
    <col min="16" max="16" width="10.33203125" style="24" bestFit="1" customWidth="1"/>
    <col min="17" max="16384" width="9.21875" style="24"/>
  </cols>
  <sheetData>
    <row r="1" spans="1:9" s="31" customFormat="1" ht="14.4" thickBot="1" x14ac:dyDescent="0.3">
      <c r="A1" s="45" t="s">
        <v>0</v>
      </c>
      <c r="B1" s="47" t="s">
        <v>1</v>
      </c>
      <c r="C1" s="47" t="s">
        <v>2</v>
      </c>
      <c r="D1" s="1616" t="s">
        <v>3</v>
      </c>
      <c r="E1" s="1885" t="s">
        <v>2326</v>
      </c>
      <c r="F1" s="1872" t="s">
        <v>2327</v>
      </c>
      <c r="G1" s="1880" t="s">
        <v>4</v>
      </c>
      <c r="H1" s="49" t="s">
        <v>5</v>
      </c>
      <c r="I1" s="282">
        <f>+summary!D7</f>
        <v>0.75</v>
      </c>
    </row>
    <row r="2" spans="1:9" s="12" customFormat="1" ht="28.05" customHeight="1" x14ac:dyDescent="0.25">
      <c r="A2" s="1617" t="s">
        <v>127</v>
      </c>
      <c r="B2" s="2396" t="s">
        <v>81</v>
      </c>
      <c r="C2" s="2397"/>
      <c r="D2" s="251"/>
      <c r="E2" s="1892"/>
      <c r="F2" s="1892"/>
      <c r="G2" s="293"/>
      <c r="H2" s="1593"/>
      <c r="I2" s="283"/>
    </row>
    <row r="3" spans="1:9" s="12" customFormat="1" ht="15.6" x14ac:dyDescent="0.25">
      <c r="A3" s="1592"/>
      <c r="B3" s="2396" t="s">
        <v>704</v>
      </c>
      <c r="C3" s="2397"/>
      <c r="D3" s="251"/>
      <c r="E3" s="1892"/>
      <c r="F3" s="1892"/>
      <c r="G3" s="293"/>
      <c r="H3" s="1593"/>
      <c r="I3" s="283"/>
    </row>
    <row r="4" spans="1:9" s="12" customFormat="1" x14ac:dyDescent="0.25">
      <c r="A4" s="1592"/>
      <c r="B4" s="2022"/>
      <c r="C4" s="301"/>
      <c r="D4" s="251"/>
      <c r="E4" s="1892"/>
      <c r="F4" s="1892"/>
      <c r="G4" s="293"/>
      <c r="H4" s="1593"/>
      <c r="I4" s="283"/>
    </row>
    <row r="5" spans="1:9" ht="27.6" x14ac:dyDescent="0.25">
      <c r="A5" s="1594" t="s">
        <v>138</v>
      </c>
      <c r="B5" s="829" t="s">
        <v>1368</v>
      </c>
      <c r="C5" s="308">
        <v>316</v>
      </c>
      <c r="D5" s="2285" t="s">
        <v>1292</v>
      </c>
      <c r="E5" s="1888">
        <v>150</v>
      </c>
      <c r="F5" s="1912">
        <f>+$I$1</f>
        <v>0.75</v>
      </c>
      <c r="G5" s="1881">
        <f>ROUNDUP(E5/F5,-1)</f>
        <v>200</v>
      </c>
      <c r="H5" s="1665">
        <f>+G5*C5</f>
        <v>63200</v>
      </c>
      <c r="I5" s="283"/>
    </row>
    <row r="6" spans="1:9" x14ac:dyDescent="0.25">
      <c r="A6" s="1594"/>
      <c r="B6" s="829"/>
      <c r="C6" s="308"/>
      <c r="D6" s="2285"/>
      <c r="E6" s="1888"/>
      <c r="F6" s="1912"/>
      <c r="H6" s="1665"/>
      <c r="I6" s="283"/>
    </row>
    <row r="7" spans="1:9" ht="41.4" x14ac:dyDescent="0.25">
      <c r="A7" s="1594" t="s">
        <v>405</v>
      </c>
      <c r="B7" s="829" t="s">
        <v>1294</v>
      </c>
      <c r="C7" s="308">
        <f>C5</f>
        <v>316</v>
      </c>
      <c r="D7" s="2285" t="s">
        <v>1292</v>
      </c>
      <c r="E7" s="1888">
        <f>+'Rate Breakdowns'!G17</f>
        <v>301.39935414424116</v>
      </c>
      <c r="F7" s="1912">
        <f t="shared" ref="F7" si="0">+$I$1</f>
        <v>0.75</v>
      </c>
      <c r="G7" s="1881">
        <f>ROUNDUP(E7/F7,-1)</f>
        <v>410</v>
      </c>
      <c r="H7" s="1665">
        <f>+G7*C7</f>
        <v>129560</v>
      </c>
      <c r="I7" s="283"/>
    </row>
    <row r="8" spans="1:9" x14ac:dyDescent="0.25">
      <c r="A8" s="1594"/>
      <c r="B8" s="829"/>
      <c r="C8" s="304"/>
      <c r="D8" s="251"/>
      <c r="E8" s="1892"/>
      <c r="F8" s="1892"/>
      <c r="G8" s="293"/>
      <c r="H8" s="1593"/>
      <c r="I8" s="283"/>
    </row>
    <row r="9" spans="1:9" x14ac:dyDescent="0.25">
      <c r="A9" s="1594"/>
      <c r="B9" s="2398" t="s">
        <v>705</v>
      </c>
      <c r="C9" s="304"/>
      <c r="D9" s="251"/>
      <c r="E9" s="1892"/>
      <c r="F9" s="1892"/>
      <c r="G9" s="293"/>
      <c r="H9" s="1593"/>
      <c r="I9" s="283"/>
    </row>
    <row r="10" spans="1:9" x14ac:dyDescent="0.25">
      <c r="A10" s="1594"/>
      <c r="B10" s="2399"/>
      <c r="C10" s="304"/>
      <c r="D10" s="251"/>
      <c r="E10" s="1892"/>
      <c r="F10" s="1892"/>
      <c r="G10" s="293"/>
      <c r="H10" s="1593"/>
      <c r="I10" s="283"/>
    </row>
    <row r="11" spans="1:9" x14ac:dyDescent="0.25">
      <c r="A11" s="1594"/>
      <c r="B11" s="2398" t="s">
        <v>175</v>
      </c>
      <c r="C11" s="304"/>
      <c r="D11" s="251"/>
      <c r="E11" s="1892"/>
      <c r="F11" s="1892"/>
      <c r="G11" s="293"/>
      <c r="H11" s="1593"/>
      <c r="I11" s="283"/>
    </row>
    <row r="12" spans="1:9" ht="26.4" x14ac:dyDescent="0.25">
      <c r="A12" s="1594"/>
      <c r="B12" s="2398" t="s">
        <v>707</v>
      </c>
      <c r="C12" s="304"/>
      <c r="D12" s="251"/>
      <c r="E12" s="1892"/>
      <c r="F12" s="1892"/>
      <c r="G12" s="293"/>
      <c r="H12" s="1593"/>
      <c r="I12" s="283"/>
    </row>
    <row r="13" spans="1:9" x14ac:dyDescent="0.25">
      <c r="A13" s="1594"/>
      <c r="B13" s="2398"/>
      <c r="C13" s="304"/>
      <c r="D13" s="251"/>
      <c r="E13" s="1892"/>
      <c r="F13" s="1892"/>
      <c r="G13" s="293"/>
      <c r="H13" s="1593"/>
      <c r="I13" s="283"/>
    </row>
    <row r="14" spans="1:9" s="12" customFormat="1" ht="26.4" x14ac:dyDescent="0.25">
      <c r="A14" s="1592"/>
      <c r="B14" s="2315" t="s">
        <v>706</v>
      </c>
      <c r="C14" s="306"/>
      <c r="D14" s="251"/>
      <c r="E14" s="1892"/>
      <c r="F14" s="1892"/>
      <c r="G14" s="293"/>
      <c r="H14" s="1593"/>
      <c r="I14" s="283"/>
    </row>
    <row r="15" spans="1:9" s="12" customFormat="1" x14ac:dyDescent="0.25">
      <c r="A15" s="1592"/>
      <c r="B15" s="2400"/>
      <c r="C15" s="306"/>
      <c r="D15" s="251"/>
      <c r="E15" s="1892"/>
      <c r="F15" s="1892"/>
      <c r="G15" s="293"/>
      <c r="H15" s="1593"/>
      <c r="I15" s="283"/>
    </row>
    <row r="16" spans="1:9" s="12" customFormat="1" ht="26.4" x14ac:dyDescent="0.25">
      <c r="A16" s="1592"/>
      <c r="B16" s="2400" t="s">
        <v>708</v>
      </c>
      <c r="C16" s="306"/>
      <c r="D16" s="251"/>
      <c r="E16" s="1892"/>
      <c r="F16" s="1892"/>
      <c r="G16" s="293"/>
      <c r="H16" s="1593"/>
      <c r="I16" s="283"/>
    </row>
    <row r="17" spans="1:9" s="12" customFormat="1" ht="62.4" customHeight="1" x14ac:dyDescent="0.25">
      <c r="A17" s="1592" t="s">
        <v>406</v>
      </c>
      <c r="B17" s="307" t="s">
        <v>1404</v>
      </c>
      <c r="C17" s="308">
        <f>45+65+5</f>
        <v>115</v>
      </c>
      <c r="D17" s="2285" t="s">
        <v>1347</v>
      </c>
      <c r="E17" s="1912">
        <f>+'Rate Breakdowns'!G32</f>
        <v>2120.1413427561838</v>
      </c>
      <c r="F17" s="1912">
        <f>+$I$1</f>
        <v>0.75</v>
      </c>
      <c r="G17" s="1881">
        <f>ROUNDUP(E17/F17,-1)</f>
        <v>2830</v>
      </c>
      <c r="H17" s="1665">
        <f>+G17*C17</f>
        <v>325450</v>
      </c>
      <c r="I17" s="1890"/>
    </row>
    <row r="18" spans="1:9" s="12" customFormat="1" x14ac:dyDescent="0.25">
      <c r="A18" s="1592"/>
      <c r="B18" s="307"/>
      <c r="C18" s="308"/>
      <c r="D18" s="251"/>
      <c r="E18" s="1892"/>
      <c r="F18" s="1892"/>
      <c r="G18" s="293"/>
      <c r="H18" s="1593"/>
      <c r="I18" s="283"/>
    </row>
    <row r="19" spans="1:9" s="12" customFormat="1" x14ac:dyDescent="0.25">
      <c r="A19" s="1592"/>
      <c r="B19" s="302" t="s">
        <v>142</v>
      </c>
      <c r="C19" s="301"/>
      <c r="D19" s="251"/>
      <c r="E19" s="1892"/>
      <c r="F19" s="1892"/>
      <c r="G19" s="293"/>
      <c r="H19" s="1593"/>
      <c r="I19" s="283"/>
    </row>
    <row r="20" spans="1:9" s="12" customFormat="1" ht="27.6" x14ac:dyDescent="0.25">
      <c r="A20" s="1592"/>
      <c r="B20" s="309" t="s">
        <v>144</v>
      </c>
      <c r="C20" s="306"/>
      <c r="D20" s="251"/>
      <c r="E20" s="1892"/>
      <c r="F20" s="1892"/>
      <c r="G20" s="293"/>
      <c r="H20" s="1593"/>
      <c r="I20" s="283"/>
    </row>
    <row r="21" spans="1:9" s="12" customFormat="1" ht="41.4" x14ac:dyDescent="0.25">
      <c r="A21" s="1617" t="s">
        <v>145</v>
      </c>
      <c r="B21" s="309" t="s">
        <v>2488</v>
      </c>
      <c r="C21" s="306"/>
      <c r="D21" s="251"/>
      <c r="E21" s="1892"/>
      <c r="F21" s="1892"/>
      <c r="G21" s="293"/>
      <c r="H21" s="1593"/>
      <c r="I21" s="283"/>
    </row>
    <row r="22" spans="1:9" s="12" customFormat="1" x14ac:dyDescent="0.25">
      <c r="A22" s="1617" t="s">
        <v>147</v>
      </c>
      <c r="B22" s="309" t="s">
        <v>148</v>
      </c>
      <c r="C22" s="306"/>
      <c r="D22" s="251"/>
      <c r="E22" s="1892"/>
      <c r="F22" s="1892"/>
      <c r="G22" s="293"/>
      <c r="H22" s="1593"/>
      <c r="I22" s="283"/>
    </row>
    <row r="23" spans="1:9" s="12" customFormat="1" ht="27.6" x14ac:dyDescent="0.25">
      <c r="A23" s="1617" t="s">
        <v>149</v>
      </c>
      <c r="B23" s="309" t="s">
        <v>150</v>
      </c>
      <c r="C23" s="306"/>
      <c r="D23" s="251"/>
      <c r="E23" s="1892"/>
      <c r="F23" s="1892"/>
      <c r="G23" s="293"/>
      <c r="H23" s="1593"/>
      <c r="I23" s="283"/>
    </row>
    <row r="24" spans="1:9" s="12" customFormat="1" x14ac:dyDescent="0.25">
      <c r="A24" s="1617"/>
      <c r="B24" s="309"/>
      <c r="C24" s="306"/>
      <c r="D24" s="251"/>
      <c r="E24" s="1892"/>
      <c r="F24" s="1892"/>
      <c r="G24" s="293"/>
      <c r="H24" s="1593"/>
      <c r="I24" s="283"/>
    </row>
    <row r="25" spans="1:9" s="931" customFormat="1" x14ac:dyDescent="0.25">
      <c r="A25" s="2308"/>
      <c r="B25" s="2309" t="s">
        <v>2348</v>
      </c>
      <c r="C25" s="2289"/>
      <c r="D25" s="672"/>
      <c r="E25" s="1892"/>
      <c r="F25" s="1892"/>
      <c r="G25" s="674"/>
      <c r="H25" s="1596"/>
      <c r="I25" s="835"/>
    </row>
    <row r="26" spans="1:9" s="931" customFormat="1" ht="80.400000000000006" customHeight="1" x14ac:dyDescent="0.25">
      <c r="A26" s="1613" t="s">
        <v>407</v>
      </c>
      <c r="B26" s="1909" t="s">
        <v>2349</v>
      </c>
      <c r="C26" s="1589">
        <f>+C32</f>
        <v>21</v>
      </c>
      <c r="D26" s="831" t="s">
        <v>693</v>
      </c>
      <c r="E26" s="1912">
        <f>+'Rate Breakdowns'!G87</f>
        <v>4478.7985865724377</v>
      </c>
      <c r="F26" s="1912">
        <f>+$I$1</f>
        <v>0.75</v>
      </c>
      <c r="G26" s="1881">
        <f>ROUNDUP(E26/F26,-1)</f>
        <v>5980</v>
      </c>
      <c r="H26" s="1925">
        <f>+G26*C26</f>
        <v>125580</v>
      </c>
      <c r="I26" s="1929"/>
    </row>
    <row r="27" spans="1:9" s="12" customFormat="1" x14ac:dyDescent="0.25">
      <c r="A27" s="1617"/>
      <c r="B27" s="309"/>
      <c r="C27" s="306"/>
      <c r="D27" s="251"/>
      <c r="E27" s="1892"/>
      <c r="F27" s="1892"/>
      <c r="G27" s="293"/>
      <c r="H27" s="1593"/>
      <c r="I27" s="283"/>
    </row>
    <row r="28" spans="1:9" s="12" customFormat="1" x14ac:dyDescent="0.25">
      <c r="A28" s="1594"/>
      <c r="B28" s="677" t="s">
        <v>1156</v>
      </c>
      <c r="C28" s="304"/>
      <c r="D28" s="251"/>
      <c r="E28" s="1892"/>
      <c r="F28" s="1892"/>
      <c r="G28" s="293"/>
      <c r="H28" s="1593"/>
      <c r="I28" s="283"/>
    </row>
    <row r="29" spans="1:9" s="12" customFormat="1" ht="66.599999999999994" thickBot="1" x14ac:dyDescent="0.3">
      <c r="A29" s="1609" t="s">
        <v>408</v>
      </c>
      <c r="B29" s="2594" t="s">
        <v>1342</v>
      </c>
      <c r="C29" s="2595">
        <v>70</v>
      </c>
      <c r="D29" s="774" t="s">
        <v>1347</v>
      </c>
      <c r="E29" s="1913">
        <f>+'Rate Breakdowns'!G87</f>
        <v>4478.7985865724377</v>
      </c>
      <c r="F29" s="2596">
        <f>+$I$1</f>
        <v>0.75</v>
      </c>
      <c r="G29" s="2372">
        <f>ROUNDUP(E29/F29,-1)</f>
        <v>5980</v>
      </c>
      <c r="H29" s="2225">
        <f>+G29*C29</f>
        <v>418600</v>
      </c>
      <c r="I29" s="1890"/>
    </row>
    <row r="30" spans="1:9" s="12" customFormat="1" x14ac:dyDescent="0.25">
      <c r="A30" s="1599"/>
      <c r="B30" s="2597"/>
      <c r="C30" s="2311"/>
      <c r="D30" s="322"/>
      <c r="E30" s="2312"/>
      <c r="F30" s="2312"/>
      <c r="G30" s="323"/>
      <c r="H30" s="1591"/>
      <c r="I30" s="283"/>
    </row>
    <row r="31" spans="1:9" s="12" customFormat="1" x14ac:dyDescent="0.25">
      <c r="A31" s="1594" t="s">
        <v>409</v>
      </c>
      <c r="B31" s="677" t="s">
        <v>2489</v>
      </c>
      <c r="C31" s="304"/>
      <c r="D31" s="251"/>
      <c r="E31" s="1892"/>
      <c r="F31" s="1892"/>
      <c r="G31" s="293"/>
      <c r="H31" s="1593"/>
      <c r="I31" s="283"/>
    </row>
    <row r="32" spans="1:9" s="12" customFormat="1" ht="73.2" customHeight="1" x14ac:dyDescent="0.25">
      <c r="A32" s="1592"/>
      <c r="B32" s="333" t="s">
        <v>1933</v>
      </c>
      <c r="C32" s="308">
        <v>21</v>
      </c>
      <c r="D32" s="2285" t="s">
        <v>1347</v>
      </c>
      <c r="E32" s="1912">
        <f>+'Rate Breakdowns'!G115</f>
        <v>3776.5017667844522</v>
      </c>
      <c r="F32" s="1912">
        <f>+$I$1</f>
        <v>0.75</v>
      </c>
      <c r="G32" s="1881">
        <f>ROUNDUP(E32/F32,-1)</f>
        <v>5040</v>
      </c>
      <c r="H32" s="1665">
        <f>+G32*C32</f>
        <v>105840</v>
      </c>
      <c r="I32" s="1890"/>
    </row>
    <row r="33" spans="1:9" s="12" customFormat="1" ht="15.6" x14ac:dyDescent="0.25">
      <c r="A33" s="1594" t="s">
        <v>410</v>
      </c>
      <c r="B33" s="311" t="s">
        <v>158</v>
      </c>
      <c r="C33" s="312"/>
      <c r="D33" s="251"/>
      <c r="E33" s="1892"/>
      <c r="F33" s="1892"/>
      <c r="G33" s="293"/>
      <c r="H33" s="1593"/>
      <c r="I33" s="283"/>
    </row>
    <row r="34" spans="1:9" s="931" customFormat="1" ht="106.8" customHeight="1" x14ac:dyDescent="0.25">
      <c r="A34" s="1613"/>
      <c r="B34" s="1909" t="s">
        <v>159</v>
      </c>
      <c r="C34" s="1589">
        <v>210</v>
      </c>
      <c r="D34" s="831" t="s">
        <v>1292</v>
      </c>
      <c r="E34" s="1912">
        <f>75*10.76</f>
        <v>807</v>
      </c>
      <c r="F34" s="1912">
        <f>+$I$1</f>
        <v>0.75</v>
      </c>
      <c r="G34" s="1881">
        <f>ROUNDUP(E34/F34,-1)</f>
        <v>1080</v>
      </c>
      <c r="H34" s="1925">
        <f>+G34*C34</f>
        <v>226800</v>
      </c>
      <c r="I34" s="1929"/>
    </row>
    <row r="35" spans="1:9" x14ac:dyDescent="0.25">
      <c r="A35" s="1594"/>
      <c r="B35" s="303"/>
      <c r="C35" s="304"/>
      <c r="D35" s="251"/>
      <c r="E35" s="1892"/>
      <c r="F35" s="1892"/>
      <c r="G35" s="293"/>
      <c r="H35" s="1593"/>
      <c r="I35" s="283"/>
    </row>
    <row r="36" spans="1:9" s="676" customFormat="1" x14ac:dyDescent="0.25">
      <c r="A36" s="1595"/>
      <c r="B36" s="2310" t="s">
        <v>1201</v>
      </c>
      <c r="C36" s="673"/>
      <c r="D36" s="672"/>
      <c r="E36" s="1892"/>
      <c r="F36" s="1892"/>
      <c r="G36" s="674"/>
      <c r="H36" s="1596"/>
      <c r="I36" s="835"/>
    </row>
    <row r="37" spans="1:9" s="931" customFormat="1" ht="25.8" customHeight="1" x14ac:dyDescent="0.25">
      <c r="A37" s="1613" t="s">
        <v>2550</v>
      </c>
      <c r="B37" s="1909" t="s">
        <v>1202</v>
      </c>
      <c r="C37" s="1589">
        <v>1</v>
      </c>
      <c r="D37" s="831" t="s">
        <v>13</v>
      </c>
      <c r="E37" s="1912">
        <v>28000</v>
      </c>
      <c r="F37" s="2347">
        <f>+$I$1</f>
        <v>0.75</v>
      </c>
      <c r="G37" s="1881">
        <f>ROUNDUP(E37/F37,-1)</f>
        <v>37340</v>
      </c>
      <c r="H37" s="1925">
        <f>+G37*C37</f>
        <v>37340</v>
      </c>
      <c r="I37" s="1929"/>
    </row>
    <row r="38" spans="1:9" ht="14.4" thickBot="1" x14ac:dyDescent="0.3">
      <c r="A38" s="1594"/>
      <c r="B38" s="303"/>
      <c r="C38" s="304"/>
      <c r="D38" s="251"/>
      <c r="E38" s="1892"/>
      <c r="F38" s="1892"/>
      <c r="G38" s="293"/>
      <c r="H38" s="1593"/>
      <c r="I38" s="283"/>
    </row>
    <row r="39" spans="1:9" s="12" customFormat="1" ht="28.2" thickBot="1" x14ac:dyDescent="0.3">
      <c r="A39" s="313"/>
      <c r="B39" s="1601" t="s">
        <v>727</v>
      </c>
      <c r="C39" s="314"/>
      <c r="D39" s="315"/>
      <c r="E39" s="1894"/>
      <c r="F39" s="1894"/>
      <c r="G39" s="316"/>
      <c r="H39" s="2341">
        <f>SUM(H3:H38)</f>
        <v>1432370</v>
      </c>
      <c r="I39" s="284"/>
    </row>
    <row r="71" spans="3:11" x14ac:dyDescent="0.25">
      <c r="D71" s="38">
        <f>600/10.76</f>
        <v>55.762081784386616</v>
      </c>
      <c r="I71" s="39">
        <f>1000/50</f>
        <v>20</v>
      </c>
    </row>
    <row r="72" spans="3:11" x14ac:dyDescent="0.25">
      <c r="D72" s="38">
        <f>D71*0.05</f>
        <v>2.7881040892193312</v>
      </c>
      <c r="I72" s="39">
        <f>50/1000</f>
        <v>0.05</v>
      </c>
      <c r="K72" s="24">
        <f>D72/2.83</f>
        <v>0.98519579124357992</v>
      </c>
    </row>
    <row r="75" spans="3:11" x14ac:dyDescent="0.25">
      <c r="C75" s="39" t="s">
        <v>783</v>
      </c>
      <c r="D75" s="38">
        <f>13*K72</f>
        <v>12.807545286166539</v>
      </c>
    </row>
    <row r="76" spans="3:11" x14ac:dyDescent="0.25">
      <c r="C76" s="39" t="s">
        <v>784</v>
      </c>
      <c r="D76" s="38">
        <f>0.53*K72</f>
        <v>0.52215376935909741</v>
      </c>
    </row>
    <row r="77" spans="3:11" x14ac:dyDescent="0.25">
      <c r="C77" s="39" t="s">
        <v>785</v>
      </c>
      <c r="D77" s="38">
        <f>0.92*K72</f>
        <v>0.90638012794409362</v>
      </c>
    </row>
  </sheetData>
  <pageMargins left="0.59055118110236227" right="0.35433070866141736" top="0.39370078740157483" bottom="0.23622047244094491" header="0.31496062992125984" footer="0.23622047244094491"/>
  <pageSetup scale="105" fitToHeight="0" orientation="portrait" r:id="rId1"/>
  <headerFooter alignWithMargins="0">
    <oddFooter>&amp;C&amp;P</oddFooter>
  </headerFooter>
  <rowBreaks count="1" manualBreakCount="1">
    <brk id="29" max="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sheetPr>
  <dimension ref="A1:S139"/>
  <sheetViews>
    <sheetView view="pageBreakPreview" topLeftCell="A123" zoomScaleNormal="85" zoomScaleSheetLayoutView="100" workbookViewId="0">
      <selection activeCell="B101" sqref="B101"/>
    </sheetView>
  </sheetViews>
  <sheetFormatPr defaultColWidth="9.21875" defaultRowHeight="13.8" x14ac:dyDescent="0.25"/>
  <cols>
    <col min="1" max="1" width="5.88671875" style="38" bestFit="1" customWidth="1"/>
    <col min="2" max="2" width="52.21875" style="24" customWidth="1"/>
    <col min="3" max="3" width="8.88671875" style="835" customWidth="1"/>
    <col min="4" max="4" width="5.77734375" style="38" bestFit="1" customWidth="1"/>
    <col min="5" max="5" width="11.44140625" style="1879" hidden="1" customWidth="1"/>
    <col min="6" max="6" width="10.44140625" style="1879" hidden="1" customWidth="1"/>
    <col min="7" max="7" width="10.44140625" style="1884" customWidth="1"/>
    <col min="8" max="8" width="12.6640625" style="39" bestFit="1" customWidth="1"/>
    <col min="9" max="9" width="10.109375" style="24" bestFit="1" customWidth="1"/>
    <col min="10" max="12" width="10.109375" style="24" customWidth="1"/>
    <col min="13" max="13" width="12.44140625" style="24" bestFit="1" customWidth="1"/>
    <col min="14" max="14" width="10" style="24" bestFit="1" customWidth="1"/>
    <col min="15" max="15" width="11" style="24" bestFit="1" customWidth="1"/>
    <col min="16" max="17" width="12.88671875" style="24" bestFit="1" customWidth="1"/>
    <col min="18" max="18" width="10.33203125" style="24" bestFit="1" customWidth="1"/>
    <col min="19" max="16384" width="9.21875" style="24"/>
  </cols>
  <sheetData>
    <row r="1" spans="1:13" s="31" customFormat="1" ht="14.4" thickBot="1" x14ac:dyDescent="0.3">
      <c r="A1" s="45" t="s">
        <v>0</v>
      </c>
      <c r="B1" s="1968" t="s">
        <v>1</v>
      </c>
      <c r="C1" s="2234" t="s">
        <v>2</v>
      </c>
      <c r="D1" s="1616" t="s">
        <v>3</v>
      </c>
      <c r="E1" s="1885" t="s">
        <v>2326</v>
      </c>
      <c r="F1" s="1872" t="s">
        <v>2327</v>
      </c>
      <c r="G1" s="1880" t="s">
        <v>4</v>
      </c>
      <c r="H1" s="49" t="s">
        <v>5</v>
      </c>
      <c r="I1" s="1873">
        <f>+summary!D8</f>
        <v>0.75</v>
      </c>
    </row>
    <row r="2" spans="1:13" s="12" customFormat="1" x14ac:dyDescent="0.25">
      <c r="A2" s="1592"/>
      <c r="B2" s="1969" t="s">
        <v>744</v>
      </c>
      <c r="C2" s="2290"/>
      <c r="D2" s="251"/>
      <c r="E2" s="1886"/>
      <c r="F2" s="1875"/>
      <c r="G2" s="1870"/>
      <c r="H2" s="1593"/>
    </row>
    <row r="3" spans="1:13" s="12" customFormat="1" x14ac:dyDescent="0.25">
      <c r="A3" s="1592"/>
      <c r="B3" s="330"/>
      <c r="C3" s="2290"/>
      <c r="D3" s="251"/>
      <c r="E3" s="1886"/>
      <c r="F3" s="1875"/>
      <c r="G3" s="1870"/>
      <c r="H3" s="1593"/>
    </row>
    <row r="4" spans="1:13" s="931" customFormat="1" x14ac:dyDescent="0.25">
      <c r="A4" s="1613"/>
      <c r="B4" s="2288" t="s">
        <v>340</v>
      </c>
      <c r="C4" s="2289"/>
      <c r="D4" s="672"/>
      <c r="E4" s="1886"/>
      <c r="F4" s="1875"/>
      <c r="G4" s="1870"/>
      <c r="H4" s="1596"/>
    </row>
    <row r="5" spans="1:13" s="931" customFormat="1" ht="27.6" x14ac:dyDescent="0.25">
      <c r="A5" s="1613"/>
      <c r="B5" s="2291" t="s">
        <v>2516</v>
      </c>
      <c r="C5" s="2290"/>
      <c r="D5" s="672"/>
      <c r="E5" s="1886"/>
      <c r="F5" s="1875"/>
      <c r="G5" s="1870"/>
      <c r="H5" s="1596"/>
    </row>
    <row r="6" spans="1:13" s="931" customFormat="1" x14ac:dyDescent="0.25">
      <c r="A6" s="1613"/>
      <c r="B6" s="2288"/>
      <c r="C6" s="2290"/>
      <c r="D6" s="672"/>
      <c r="E6" s="1886"/>
      <c r="F6" s="1875"/>
      <c r="G6" s="1870"/>
      <c r="H6" s="1596"/>
    </row>
    <row r="7" spans="1:13" s="943" customFormat="1" ht="55.2" x14ac:dyDescent="0.25">
      <c r="A7" s="1970" t="s">
        <v>411</v>
      </c>
      <c r="B7" s="1971" t="s">
        <v>1261</v>
      </c>
      <c r="C7" s="830">
        <v>96</v>
      </c>
      <c r="D7" s="831" t="s">
        <v>1292</v>
      </c>
      <c r="E7" s="1888">
        <f>+'Rate Breakdowns'!G311</f>
        <v>1656.2356700753501</v>
      </c>
      <c r="F7" s="1877">
        <f>+I1</f>
        <v>0.75</v>
      </c>
      <c r="G7" s="1881">
        <f>ROUNDUP(E7/F7,-1)</f>
        <v>2210</v>
      </c>
      <c r="H7" s="1925">
        <f>+G7*C7</f>
        <v>212160</v>
      </c>
    </row>
    <row r="8" spans="1:13" x14ac:dyDescent="0.25">
      <c r="A8" s="1594"/>
      <c r="B8" s="668"/>
      <c r="C8" s="673"/>
      <c r="D8" s="251"/>
      <c r="E8" s="1886"/>
      <c r="F8" s="1875"/>
      <c r="G8" s="1870"/>
      <c r="H8" s="1593"/>
      <c r="M8" s="12"/>
    </row>
    <row r="9" spans="1:13" s="12" customFormat="1" x14ac:dyDescent="0.25">
      <c r="A9" s="1592"/>
      <c r="B9" s="1969" t="s">
        <v>166</v>
      </c>
      <c r="C9" s="2290"/>
      <c r="D9" s="251"/>
      <c r="E9" s="1886"/>
      <c r="F9" s="1875"/>
      <c r="G9" s="1870"/>
      <c r="H9" s="1593"/>
    </row>
    <row r="10" spans="1:13" s="12" customFormat="1" x14ac:dyDescent="0.25">
      <c r="A10" s="1592"/>
      <c r="B10" s="1969"/>
      <c r="C10" s="2290"/>
      <c r="D10" s="251"/>
      <c r="E10" s="1886"/>
      <c r="F10" s="1875"/>
      <c r="G10" s="1870"/>
      <c r="H10" s="1593"/>
    </row>
    <row r="11" spans="1:13" s="12" customFormat="1" ht="27.6" x14ac:dyDescent="0.25">
      <c r="A11" s="1592"/>
      <c r="B11" s="330" t="s">
        <v>788</v>
      </c>
      <c r="C11" s="2290"/>
      <c r="D11" s="251"/>
      <c r="E11" s="1886"/>
      <c r="F11" s="1875"/>
      <c r="G11" s="1870"/>
      <c r="H11" s="1593"/>
    </row>
    <row r="12" spans="1:13" s="12" customFormat="1" ht="20.399999999999999" customHeight="1" x14ac:dyDescent="0.25">
      <c r="A12" s="1592"/>
      <c r="B12" s="1969"/>
      <c r="C12" s="2290"/>
      <c r="D12" s="251"/>
      <c r="E12" s="1886"/>
      <c r="F12" s="1875"/>
      <c r="G12" s="1870"/>
      <c r="H12" s="1593"/>
    </row>
    <row r="13" spans="1:13" s="931" customFormat="1" ht="80.400000000000006" customHeight="1" x14ac:dyDescent="0.25">
      <c r="A13" s="1613"/>
      <c r="B13" s="1971" t="s">
        <v>2517</v>
      </c>
      <c r="C13" s="2290"/>
      <c r="D13" s="672"/>
      <c r="E13" s="1886"/>
      <c r="F13" s="1875"/>
      <c r="G13" s="1870"/>
      <c r="H13" s="1596"/>
    </row>
    <row r="14" spans="1:13" s="931" customFormat="1" ht="55.2" x14ac:dyDescent="0.25">
      <c r="A14" s="1595" t="s">
        <v>164</v>
      </c>
      <c r="B14" s="2287" t="s">
        <v>2518</v>
      </c>
      <c r="C14" s="2290"/>
      <c r="D14" s="672"/>
      <c r="E14" s="1886"/>
      <c r="F14" s="1875"/>
      <c r="G14" s="1870"/>
      <c r="H14" s="1596"/>
    </row>
    <row r="15" spans="1:13" s="931" customFormat="1" ht="16.8" x14ac:dyDescent="0.25">
      <c r="A15" s="1613" t="s">
        <v>412</v>
      </c>
      <c r="B15" s="2287" t="s">
        <v>1405</v>
      </c>
      <c r="C15" s="1589">
        <v>19</v>
      </c>
      <c r="D15" s="831" t="s">
        <v>1347</v>
      </c>
      <c r="E15" s="1888">
        <f>+'Rate Breakdowns'!G282</f>
        <v>32745.362190812721</v>
      </c>
      <c r="F15" s="1877">
        <f>+$I$1</f>
        <v>0.75</v>
      </c>
      <c r="G15" s="1882">
        <f>ROUNDUP(E15/F15,-1)</f>
        <v>43670</v>
      </c>
      <c r="H15" s="1925">
        <f>+G15*C15</f>
        <v>829730</v>
      </c>
    </row>
    <row r="16" spans="1:13" s="931" customFormat="1" ht="16.8" x14ac:dyDescent="0.25">
      <c r="A16" s="1613" t="s">
        <v>413</v>
      </c>
      <c r="B16" s="2287" t="s">
        <v>98</v>
      </c>
      <c r="C16" s="1589">
        <v>2</v>
      </c>
      <c r="D16" s="831" t="s">
        <v>1347</v>
      </c>
      <c r="E16" s="1888">
        <f>+E15</f>
        <v>32745.362190812721</v>
      </c>
      <c r="F16" s="1877">
        <f t="shared" ref="F16:F18" si="0">+$I$1</f>
        <v>0.75</v>
      </c>
      <c r="G16" s="1882">
        <f t="shared" ref="G16:G18" si="1">ROUNDUP(E16/F16,-1)</f>
        <v>43670</v>
      </c>
      <c r="H16" s="1925">
        <f t="shared" ref="H16:H18" si="2">+G16*C16</f>
        <v>87340</v>
      </c>
    </row>
    <row r="17" spans="1:13" s="931" customFormat="1" ht="16.8" x14ac:dyDescent="0.25">
      <c r="A17" s="1613" t="s">
        <v>414</v>
      </c>
      <c r="B17" s="2287" t="s">
        <v>1260</v>
      </c>
      <c r="C17" s="1589">
        <v>10</v>
      </c>
      <c r="D17" s="831" t="s">
        <v>1347</v>
      </c>
      <c r="E17" s="1888">
        <f>+E15</f>
        <v>32745.362190812721</v>
      </c>
      <c r="F17" s="1877">
        <f t="shared" si="0"/>
        <v>0.75</v>
      </c>
      <c r="G17" s="1882">
        <f t="shared" si="1"/>
        <v>43670</v>
      </c>
      <c r="H17" s="1925">
        <f t="shared" si="2"/>
        <v>436700</v>
      </c>
    </row>
    <row r="18" spans="1:13" s="931" customFormat="1" ht="16.8" x14ac:dyDescent="0.25">
      <c r="A18" s="1613" t="s">
        <v>415</v>
      </c>
      <c r="B18" s="2287" t="s">
        <v>804</v>
      </c>
      <c r="C18" s="1589">
        <v>1</v>
      </c>
      <c r="D18" s="831" t="s">
        <v>1347</v>
      </c>
      <c r="E18" s="1888">
        <f>+E15</f>
        <v>32745.362190812721</v>
      </c>
      <c r="F18" s="1877">
        <f t="shared" si="0"/>
        <v>0.75</v>
      </c>
      <c r="G18" s="1882">
        <f t="shared" si="1"/>
        <v>43670</v>
      </c>
      <c r="H18" s="1925">
        <f t="shared" si="2"/>
        <v>43670</v>
      </c>
    </row>
    <row r="19" spans="1:13" s="31" customFormat="1" ht="16.8" hidden="1" x14ac:dyDescent="0.25">
      <c r="A19" s="651" t="s">
        <v>694</v>
      </c>
      <c r="B19" s="330" t="s">
        <v>803</v>
      </c>
      <c r="C19" s="1589"/>
      <c r="D19" s="251" t="s">
        <v>1347</v>
      </c>
      <c r="E19" s="1886"/>
      <c r="F19" s="1875"/>
      <c r="G19" s="1870"/>
      <c r="H19" s="1593"/>
    </row>
    <row r="20" spans="1:13" s="31" customFormat="1" x14ac:dyDescent="0.25">
      <c r="A20" s="651"/>
      <c r="B20" s="330"/>
      <c r="C20" s="1589"/>
      <c r="D20" s="251"/>
      <c r="E20" s="1886"/>
      <c r="F20" s="1875"/>
      <c r="G20" s="1870"/>
      <c r="H20" s="1593"/>
    </row>
    <row r="21" spans="1:13" s="931" customFormat="1" ht="88.8" customHeight="1" x14ac:dyDescent="0.25">
      <c r="A21" s="1613" t="s">
        <v>416</v>
      </c>
      <c r="B21" s="2287" t="s">
        <v>2519</v>
      </c>
      <c r="C21" s="1589"/>
      <c r="D21" s="831"/>
      <c r="E21" s="1888"/>
      <c r="F21" s="1877"/>
      <c r="G21" s="1882"/>
      <c r="H21" s="1925"/>
    </row>
    <row r="22" spans="1:13" s="931" customFormat="1" ht="16.8" x14ac:dyDescent="0.25">
      <c r="A22" s="1613" t="s">
        <v>417</v>
      </c>
      <c r="B22" s="2292" t="s">
        <v>1149</v>
      </c>
      <c r="C22" s="1589">
        <v>14</v>
      </c>
      <c r="D22" s="831" t="s">
        <v>1347</v>
      </c>
      <c r="E22" s="1888">
        <f>+'Rate Breakdowns'!G252</f>
        <v>29746.024734982333</v>
      </c>
      <c r="F22" s="1877">
        <f t="shared" ref="F22" si="3">+$I$1</f>
        <v>0.75</v>
      </c>
      <c r="G22" s="1882">
        <f>ROUNDUP(E22/F22,-1)</f>
        <v>39670</v>
      </c>
      <c r="H22" s="1925">
        <f>+G22*C22</f>
        <v>555380</v>
      </c>
      <c r="M22" s="2293"/>
    </row>
    <row r="23" spans="1:13" s="12" customFormat="1" ht="14.4" thickBot="1" x14ac:dyDescent="0.3">
      <c r="A23" s="2297"/>
      <c r="B23" s="1977"/>
      <c r="C23" s="2003"/>
      <c r="D23" s="730"/>
      <c r="E23" s="1972"/>
      <c r="F23" s="1973"/>
      <c r="G23" s="1974"/>
      <c r="H23" s="1598"/>
    </row>
    <row r="24" spans="1:13" s="12" customFormat="1" x14ac:dyDescent="0.25">
      <c r="A24" s="1599"/>
      <c r="B24" s="2298" t="s">
        <v>47</v>
      </c>
      <c r="C24" s="2299"/>
      <c r="D24" s="322"/>
      <c r="E24" s="1887"/>
      <c r="F24" s="1876"/>
      <c r="G24" s="1976"/>
      <c r="H24" s="1591"/>
    </row>
    <row r="25" spans="1:13" s="12" customFormat="1" x14ac:dyDescent="0.25">
      <c r="A25" s="1594"/>
      <c r="B25" s="1979"/>
      <c r="C25" s="673"/>
      <c r="D25" s="251"/>
      <c r="E25" s="1886"/>
      <c r="F25" s="1875"/>
      <c r="G25" s="1870"/>
      <c r="H25" s="1593"/>
    </row>
    <row r="26" spans="1:13" s="12" customFormat="1" ht="55.2" hidden="1" customHeight="1" x14ac:dyDescent="0.25">
      <c r="A26" s="651" t="s">
        <v>791</v>
      </c>
      <c r="B26" s="1980" t="s">
        <v>1154</v>
      </c>
      <c r="C26" s="673"/>
      <c r="D26" s="251"/>
      <c r="E26" s="1886"/>
      <c r="F26" s="1875"/>
      <c r="G26" s="1870"/>
      <c r="H26" s="1593"/>
    </row>
    <row r="27" spans="1:13" s="12" customFormat="1" ht="16.8" hidden="1" x14ac:dyDescent="0.25">
      <c r="A27" s="651" t="s">
        <v>792</v>
      </c>
      <c r="B27" s="1981" t="s">
        <v>715</v>
      </c>
      <c r="C27" s="673"/>
      <c r="D27" s="251" t="s">
        <v>1347</v>
      </c>
      <c r="E27" s="1886"/>
      <c r="F27" s="1875"/>
      <c r="G27" s="1870"/>
      <c r="H27" s="1593"/>
    </row>
    <row r="28" spans="1:13" s="12" customFormat="1" ht="16.8" hidden="1" x14ac:dyDescent="0.25">
      <c r="A28" s="651" t="s">
        <v>793</v>
      </c>
      <c r="B28" s="1981" t="s">
        <v>716</v>
      </c>
      <c r="C28" s="673"/>
      <c r="D28" s="251" t="s">
        <v>1347</v>
      </c>
      <c r="E28" s="1886"/>
      <c r="F28" s="1875"/>
      <c r="G28" s="1870"/>
      <c r="H28" s="1593"/>
    </row>
    <row r="29" spans="1:13" s="12" customFormat="1" ht="16.8" hidden="1" x14ac:dyDescent="0.25">
      <c r="A29" s="651" t="s">
        <v>794</v>
      </c>
      <c r="B29" s="1981" t="s">
        <v>712</v>
      </c>
      <c r="C29" s="673"/>
      <c r="D29" s="251" t="s">
        <v>1347</v>
      </c>
      <c r="E29" s="1886"/>
      <c r="F29" s="1875"/>
      <c r="G29" s="1870"/>
      <c r="H29" s="1593"/>
    </row>
    <row r="30" spans="1:13" s="12" customFormat="1" ht="16.8" hidden="1" x14ac:dyDescent="0.25">
      <c r="A30" s="651" t="s">
        <v>1407</v>
      </c>
      <c r="B30" s="1981" t="s">
        <v>1392</v>
      </c>
      <c r="C30" s="673"/>
      <c r="D30" s="251" t="s">
        <v>1347</v>
      </c>
      <c r="E30" s="1886"/>
      <c r="F30" s="1875"/>
      <c r="G30" s="1870"/>
      <c r="H30" s="1593"/>
    </row>
    <row r="31" spans="1:13" s="12" customFormat="1" ht="16.8" hidden="1" x14ac:dyDescent="0.25">
      <c r="A31" s="651" t="s">
        <v>1408</v>
      </c>
      <c r="B31" s="1981" t="s">
        <v>1406</v>
      </c>
      <c r="C31" s="673"/>
      <c r="D31" s="251" t="s">
        <v>1347</v>
      </c>
      <c r="E31" s="1886"/>
      <c r="F31" s="1875"/>
      <c r="G31" s="1870"/>
      <c r="H31" s="1593"/>
    </row>
    <row r="32" spans="1:13" s="12" customFormat="1" hidden="1" x14ac:dyDescent="0.25">
      <c r="A32" s="1594"/>
      <c r="B32" s="330"/>
      <c r="C32" s="673"/>
      <c r="D32" s="251"/>
      <c r="E32" s="1886"/>
      <c r="F32" s="1875"/>
      <c r="G32" s="1870"/>
      <c r="H32" s="1593"/>
    </row>
    <row r="33" spans="1:19" s="12" customFormat="1" ht="87" customHeight="1" x14ac:dyDescent="0.25">
      <c r="A33" s="1594" t="s">
        <v>165</v>
      </c>
      <c r="B33" s="330" t="s">
        <v>2520</v>
      </c>
      <c r="C33" s="673"/>
      <c r="D33" s="672"/>
      <c r="E33" s="1886"/>
      <c r="F33" s="1875"/>
      <c r="G33" s="1870"/>
      <c r="H33" s="1593"/>
    </row>
    <row r="34" spans="1:19" s="31" customFormat="1" ht="21.6" customHeight="1" x14ac:dyDescent="0.25">
      <c r="A34" s="651" t="s">
        <v>420</v>
      </c>
      <c r="B34" s="1982" t="s">
        <v>48</v>
      </c>
      <c r="C34" s="1589">
        <v>6</v>
      </c>
      <c r="D34" s="831" t="s">
        <v>1347</v>
      </c>
      <c r="E34" s="1888">
        <f>+'Rate Breakdowns'!G282</f>
        <v>32745.362190812721</v>
      </c>
      <c r="F34" s="1877">
        <f t="shared" ref="F34" si="4">+$I$1</f>
        <v>0.75</v>
      </c>
      <c r="G34" s="2635">
        <f t="shared" ref="G34" si="5">ROUNDUP(E34/F34,-1)</f>
        <v>43670</v>
      </c>
      <c r="H34" s="1665">
        <f t="shared" ref="H34" si="6">+G34*C34</f>
        <v>262020</v>
      </c>
      <c r="I34" s="31">
        <f>+C34/0.125</f>
        <v>48</v>
      </c>
      <c r="M34" s="12"/>
      <c r="N34" s="12"/>
    </row>
    <row r="35" spans="1:19" s="31" customFormat="1" ht="21.6" customHeight="1" x14ac:dyDescent="0.25">
      <c r="A35" s="651" t="s">
        <v>422</v>
      </c>
      <c r="B35" s="1982" t="s">
        <v>1262</v>
      </c>
      <c r="C35" s="1589">
        <v>6</v>
      </c>
      <c r="D35" s="831" t="s">
        <v>1347</v>
      </c>
      <c r="E35" s="1888">
        <f>+E34*1.03</f>
        <v>33727.723056537106</v>
      </c>
      <c r="F35" s="1877">
        <f t="shared" ref="F35" si="7">+$I$1</f>
        <v>0.75</v>
      </c>
      <c r="G35" s="2635">
        <f t="shared" ref="G35" si="8">ROUNDUP(E35/F35,-1)</f>
        <v>44980</v>
      </c>
      <c r="H35" s="1665">
        <f t="shared" ref="H35" si="9">+G35*C35</f>
        <v>269880</v>
      </c>
      <c r="M35" s="12"/>
      <c r="N35" s="12"/>
    </row>
    <row r="36" spans="1:19" s="31" customFormat="1" ht="21.6" customHeight="1" x14ac:dyDescent="0.25">
      <c r="A36" s="651" t="s">
        <v>421</v>
      </c>
      <c r="B36" s="1982" t="s">
        <v>2523</v>
      </c>
      <c r="C36" s="1589">
        <v>6</v>
      </c>
      <c r="D36" s="831" t="s">
        <v>1347</v>
      </c>
      <c r="E36" s="1888">
        <f>+E34*1.06</f>
        <v>34710.083922261489</v>
      </c>
      <c r="F36" s="1877">
        <f t="shared" ref="F36:F41" si="10">+$I$1</f>
        <v>0.75</v>
      </c>
      <c r="G36" s="2635">
        <f t="shared" ref="G36" si="11">ROUNDUP(E36/F36,-1)</f>
        <v>46290</v>
      </c>
      <c r="H36" s="1665">
        <f t="shared" ref="H36" si="12">+G36*C36</f>
        <v>277740</v>
      </c>
      <c r="M36" s="12"/>
      <c r="N36" s="12"/>
    </row>
    <row r="37" spans="1:19" s="31" customFormat="1" ht="21.6" customHeight="1" x14ac:dyDescent="0.25">
      <c r="A37" s="651" t="s">
        <v>421</v>
      </c>
      <c r="B37" s="1982" t="s">
        <v>2524</v>
      </c>
      <c r="C37" s="1589">
        <v>2.5</v>
      </c>
      <c r="D37" s="831" t="s">
        <v>1347</v>
      </c>
      <c r="E37" s="1888">
        <f>+E34*1.09</f>
        <v>35692.444787985871</v>
      </c>
      <c r="F37" s="1877">
        <f t="shared" si="10"/>
        <v>0.75</v>
      </c>
      <c r="G37" s="2635">
        <f t="shared" ref="G37" si="13">ROUNDUP(E37/F37,-1)</f>
        <v>47590</v>
      </c>
      <c r="H37" s="1665">
        <f t="shared" ref="H37" si="14">+G37*C37</f>
        <v>118975</v>
      </c>
      <c r="M37" s="12"/>
      <c r="N37" s="12"/>
    </row>
    <row r="38" spans="1:19" s="31" customFormat="1" ht="28.8" customHeight="1" x14ac:dyDescent="0.25">
      <c r="A38" s="651"/>
      <c r="B38" s="330"/>
      <c r="C38" s="1589"/>
      <c r="D38" s="831"/>
      <c r="E38" s="1888"/>
      <c r="F38" s="1877"/>
      <c r="G38" s="2635"/>
      <c r="H38" s="1665"/>
      <c r="M38" s="12"/>
      <c r="N38" s="12"/>
    </row>
    <row r="39" spans="1:19" s="31" customFormat="1" ht="24.6" customHeight="1" x14ac:dyDescent="0.25">
      <c r="A39" s="651" t="s">
        <v>423</v>
      </c>
      <c r="B39" s="330" t="s">
        <v>54</v>
      </c>
      <c r="C39" s="1589">
        <v>2.5</v>
      </c>
      <c r="D39" s="2285" t="s">
        <v>1347</v>
      </c>
      <c r="E39" s="1888">
        <f>+E35</f>
        <v>33727.723056537106</v>
      </c>
      <c r="F39" s="1877">
        <f t="shared" si="10"/>
        <v>0.75</v>
      </c>
      <c r="G39" s="2635">
        <f t="shared" ref="G39" si="15">ROUNDUP(E39/F39,-1)</f>
        <v>44980</v>
      </c>
      <c r="H39" s="1665">
        <f t="shared" ref="H39" si="16">+G39*C39</f>
        <v>112450</v>
      </c>
      <c r="M39" s="12"/>
      <c r="N39" s="12"/>
    </row>
    <row r="40" spans="1:19" s="31" customFormat="1" ht="24.6" customHeight="1" x14ac:dyDescent="0.25">
      <c r="A40" s="651" t="s">
        <v>2339</v>
      </c>
      <c r="B40" s="330" t="s">
        <v>2338</v>
      </c>
      <c r="C40" s="1589">
        <v>2.5</v>
      </c>
      <c r="D40" s="2285" t="s">
        <v>1347</v>
      </c>
      <c r="E40" s="1888">
        <f>+E36</f>
        <v>34710.083922261489</v>
      </c>
      <c r="F40" s="1877">
        <f t="shared" si="10"/>
        <v>0.75</v>
      </c>
      <c r="G40" s="2635">
        <f t="shared" ref="G40" si="17">ROUNDUP(E40/F40,-1)</f>
        <v>46290</v>
      </c>
      <c r="H40" s="1665">
        <f t="shared" ref="H40" si="18">+G40*C40</f>
        <v>115725</v>
      </c>
      <c r="M40" s="12"/>
      <c r="N40" s="12"/>
    </row>
    <row r="41" spans="1:19" s="31" customFormat="1" ht="24.6" customHeight="1" x14ac:dyDescent="0.25">
      <c r="A41" s="651" t="s">
        <v>2339</v>
      </c>
      <c r="B41" s="330" t="s">
        <v>2525</v>
      </c>
      <c r="C41" s="1589">
        <v>2.5</v>
      </c>
      <c r="D41" s="2285" t="s">
        <v>1347</v>
      </c>
      <c r="E41" s="1888">
        <f>+E37</f>
        <v>35692.444787985871</v>
      </c>
      <c r="F41" s="1877">
        <f t="shared" si="10"/>
        <v>0.75</v>
      </c>
      <c r="G41" s="2635">
        <f t="shared" ref="G41" si="19">ROUNDUP(E41/F41,-1)</f>
        <v>47590</v>
      </c>
      <c r="H41" s="1665">
        <f t="shared" ref="H41" si="20">+G41*C41</f>
        <v>118975</v>
      </c>
      <c r="M41" s="12"/>
      <c r="N41" s="12"/>
    </row>
    <row r="42" spans="1:19" s="31" customFormat="1" ht="16.2" customHeight="1" x14ac:dyDescent="0.25">
      <c r="A42" s="651"/>
      <c r="B42" s="330"/>
      <c r="C42" s="1589"/>
      <c r="D42" s="2285"/>
      <c r="E42" s="1888"/>
      <c r="F42" s="1877"/>
      <c r="G42" s="1984"/>
      <c r="H42" s="1665"/>
      <c r="M42" s="12"/>
      <c r="N42" s="12"/>
    </row>
    <row r="43" spans="1:19" s="31" customFormat="1" ht="16.2" customHeight="1" x14ac:dyDescent="0.25">
      <c r="A43" s="651"/>
      <c r="B43" s="330"/>
      <c r="C43" s="1589"/>
      <c r="D43" s="2654"/>
      <c r="E43" s="1888"/>
      <c r="F43" s="1877"/>
      <c r="G43" s="1984"/>
      <c r="H43" s="1665"/>
      <c r="M43" s="12"/>
      <c r="N43" s="12"/>
    </row>
    <row r="44" spans="1:19" s="12" customFormat="1" x14ac:dyDescent="0.25">
      <c r="A44" s="1592"/>
      <c r="B44" s="1969" t="s">
        <v>169</v>
      </c>
      <c r="C44" s="2290"/>
      <c r="D44" s="251"/>
      <c r="E44" s="1886"/>
      <c r="F44" s="1875"/>
      <c r="G44" s="1870"/>
      <c r="H44" s="1593"/>
    </row>
    <row r="45" spans="1:19" s="12" customFormat="1" x14ac:dyDescent="0.25">
      <c r="A45" s="1592"/>
      <c r="B45" s="330"/>
      <c r="C45" s="2290"/>
      <c r="D45" s="251"/>
      <c r="E45" s="1886"/>
      <c r="F45" s="1875"/>
      <c r="G45" s="1870"/>
      <c r="H45" s="1593"/>
    </row>
    <row r="46" spans="1:19" ht="69" x14ac:dyDescent="0.25">
      <c r="A46" s="1594" t="s">
        <v>424</v>
      </c>
      <c r="B46" s="668" t="s">
        <v>2522</v>
      </c>
      <c r="C46" s="673"/>
      <c r="D46" s="251"/>
      <c r="E46" s="1886"/>
      <c r="F46" s="1875"/>
      <c r="G46" s="1870"/>
      <c r="H46" s="1593"/>
      <c r="Q46" s="24">
        <f>32294/30</f>
        <v>1076.4666666666667</v>
      </c>
    </row>
    <row r="47" spans="1:19" s="12" customFormat="1" x14ac:dyDescent="0.25">
      <c r="A47" s="1592" t="s">
        <v>425</v>
      </c>
      <c r="B47" s="330" t="s">
        <v>50</v>
      </c>
      <c r="C47" s="1589">
        <v>11</v>
      </c>
      <c r="D47" s="2285" t="s">
        <v>170</v>
      </c>
      <c r="E47" s="1888">
        <f>+E35</f>
        <v>33727.723056537106</v>
      </c>
      <c r="F47" s="1877">
        <f t="shared" ref="F47:F50" si="21">+$I$1</f>
        <v>0.75</v>
      </c>
      <c r="G47" s="2635">
        <f t="shared" ref="G47:G49" si="22">ROUNDUP(E47/F47,-1)</f>
        <v>44980</v>
      </c>
      <c r="H47" s="1665">
        <f>+G47*C47</f>
        <v>494780</v>
      </c>
      <c r="Q47" s="12" t="e">
        <f>+P47/M47</f>
        <v>#DIV/0!</v>
      </c>
    </row>
    <row r="48" spans="1:19" s="12" customFormat="1" x14ac:dyDescent="0.25">
      <c r="A48" s="1592" t="s">
        <v>426</v>
      </c>
      <c r="B48" s="330" t="s">
        <v>51</v>
      </c>
      <c r="C48" s="1589">
        <v>11</v>
      </c>
      <c r="D48" s="2285" t="s">
        <v>170</v>
      </c>
      <c r="E48" s="1888">
        <f>+E36</f>
        <v>34710.083922261489</v>
      </c>
      <c r="F48" s="1877">
        <f t="shared" si="21"/>
        <v>0.75</v>
      </c>
      <c r="G48" s="2635">
        <f t="shared" si="22"/>
        <v>46290</v>
      </c>
      <c r="H48" s="1665">
        <f>+G48*C48</f>
        <v>509190</v>
      </c>
      <c r="Q48" s="12" t="e">
        <f>+P48/M48</f>
        <v>#DIV/0!</v>
      </c>
      <c r="R48" s="12">
        <f>10.7+5.9</f>
        <v>16.600000000000001</v>
      </c>
      <c r="S48" s="12">
        <f>R48*0.55*0.3</f>
        <v>2.7390000000000003</v>
      </c>
    </row>
    <row r="49" spans="1:10" s="12" customFormat="1" ht="27.6" x14ac:dyDescent="0.25">
      <c r="A49" s="1592" t="s">
        <v>427</v>
      </c>
      <c r="B49" s="330" t="s">
        <v>2638</v>
      </c>
      <c r="C49" s="1589">
        <f>6+13</f>
        <v>19</v>
      </c>
      <c r="D49" s="2285" t="s">
        <v>170</v>
      </c>
      <c r="E49" s="1888">
        <f>+E37</f>
        <v>35692.444787985871</v>
      </c>
      <c r="F49" s="1877">
        <f t="shared" si="21"/>
        <v>0.75</v>
      </c>
      <c r="G49" s="2635">
        <f t="shared" si="22"/>
        <v>47590</v>
      </c>
      <c r="H49" s="1665">
        <f t="shared" ref="H49" si="23">+G49*C49</f>
        <v>904210</v>
      </c>
    </row>
    <row r="50" spans="1:10" s="12" customFormat="1" x14ac:dyDescent="0.25">
      <c r="A50" s="1592" t="s">
        <v>428</v>
      </c>
      <c r="B50" s="330" t="s">
        <v>2526</v>
      </c>
      <c r="C50" s="1589">
        <v>4</v>
      </c>
      <c r="D50" s="2285" t="s">
        <v>170</v>
      </c>
      <c r="E50" s="1888">
        <f>+E34*1.12</f>
        <v>36674.805653710253</v>
      </c>
      <c r="F50" s="1877">
        <f t="shared" si="21"/>
        <v>0.75</v>
      </c>
      <c r="G50" s="2635">
        <f t="shared" ref="G50" si="24">ROUNDUP(E50/F50,-1)</f>
        <v>48900</v>
      </c>
      <c r="H50" s="1665">
        <f>+G50*C50</f>
        <v>195600</v>
      </c>
    </row>
    <row r="51" spans="1:10" s="12" customFormat="1" x14ac:dyDescent="0.25">
      <c r="A51" s="1592"/>
      <c r="B51" s="330"/>
      <c r="C51" s="1589"/>
      <c r="D51" s="251"/>
      <c r="E51" s="1886"/>
      <c r="F51" s="1875"/>
      <c r="G51" s="1984"/>
      <c r="H51" s="1665"/>
    </row>
    <row r="52" spans="1:10" s="12" customFormat="1" x14ac:dyDescent="0.25">
      <c r="A52" s="1592" t="s">
        <v>429</v>
      </c>
      <c r="B52" s="330" t="s">
        <v>52</v>
      </c>
      <c r="C52" s="1589">
        <v>22</v>
      </c>
      <c r="D52" s="2285" t="s">
        <v>170</v>
      </c>
      <c r="E52" s="1888">
        <f>+E47</f>
        <v>33727.723056537106</v>
      </c>
      <c r="F52" s="1877">
        <f t="shared" ref="F52:F55" si="25">+$I$1</f>
        <v>0.75</v>
      </c>
      <c r="G52" s="2635">
        <f t="shared" ref="G52:G54" si="26">ROUNDUP(E52/F52,-1)</f>
        <v>44980</v>
      </c>
      <c r="H52" s="1665">
        <f>+G52*C52</f>
        <v>989560</v>
      </c>
      <c r="I52" s="12">
        <f>+C52/0.125</f>
        <v>176</v>
      </c>
      <c r="J52" s="12">
        <f>+I52*10.76</f>
        <v>1893.76</v>
      </c>
    </row>
    <row r="53" spans="1:10" s="12" customFormat="1" x14ac:dyDescent="0.25">
      <c r="A53" s="1592" t="s">
        <v>430</v>
      </c>
      <c r="B53" s="330" t="s">
        <v>53</v>
      </c>
      <c r="C53" s="1589">
        <v>22</v>
      </c>
      <c r="D53" s="2285" t="s">
        <v>170</v>
      </c>
      <c r="E53" s="1888">
        <f t="shared" ref="E53:E55" si="27">+E48</f>
        <v>34710.083922261489</v>
      </c>
      <c r="F53" s="1877">
        <f t="shared" si="25"/>
        <v>0.75</v>
      </c>
      <c r="G53" s="2635">
        <f t="shared" si="26"/>
        <v>46290</v>
      </c>
      <c r="H53" s="1665">
        <f>+G53*C53</f>
        <v>1018380</v>
      </c>
      <c r="I53" s="12">
        <f t="shared" ref="I53:I54" si="28">+C53/0.125</f>
        <v>176</v>
      </c>
      <c r="J53" s="12">
        <f t="shared" ref="J53:J54" si="29">+I53*10.76</f>
        <v>1893.76</v>
      </c>
    </row>
    <row r="54" spans="1:10" s="12" customFormat="1" ht="21.6" customHeight="1" x14ac:dyDescent="0.25">
      <c r="A54" s="1592" t="s">
        <v>431</v>
      </c>
      <c r="B54" s="330" t="s">
        <v>2637</v>
      </c>
      <c r="C54" s="1589">
        <f>8+20</f>
        <v>28</v>
      </c>
      <c r="D54" s="2285" t="s">
        <v>170</v>
      </c>
      <c r="E54" s="1888">
        <f t="shared" si="27"/>
        <v>35692.444787985871</v>
      </c>
      <c r="F54" s="1877">
        <f t="shared" si="25"/>
        <v>0.75</v>
      </c>
      <c r="G54" s="2635">
        <f t="shared" si="26"/>
        <v>47590</v>
      </c>
      <c r="H54" s="1665">
        <f>+G54*C54</f>
        <v>1332520</v>
      </c>
      <c r="I54" s="12">
        <f t="shared" si="28"/>
        <v>224</v>
      </c>
      <c r="J54" s="12">
        <f t="shared" si="29"/>
        <v>2410.2399999999998</v>
      </c>
    </row>
    <row r="55" spans="1:10" s="12" customFormat="1" x14ac:dyDescent="0.25">
      <c r="A55" s="1592" t="s">
        <v>432</v>
      </c>
      <c r="B55" s="330" t="s">
        <v>2527</v>
      </c>
      <c r="C55" s="1589">
        <v>7</v>
      </c>
      <c r="D55" s="2285" t="s">
        <v>170</v>
      </c>
      <c r="E55" s="1888">
        <f t="shared" si="27"/>
        <v>36674.805653710253</v>
      </c>
      <c r="F55" s="1877">
        <f t="shared" si="25"/>
        <v>0.75</v>
      </c>
      <c r="G55" s="2636">
        <f>ROUNDUP(E55/F55,-1)</f>
        <v>48900</v>
      </c>
      <c r="H55" s="2637">
        <f>+G55*C55</f>
        <v>342300</v>
      </c>
    </row>
    <row r="56" spans="1:10" s="12" customFormat="1" x14ac:dyDescent="0.25">
      <c r="A56" s="1592"/>
      <c r="B56" s="330"/>
      <c r="C56" s="1589"/>
      <c r="D56" s="251"/>
      <c r="E56" s="1886"/>
      <c r="F56" s="1875"/>
      <c r="G56" s="1874"/>
      <c r="H56" s="1983"/>
    </row>
    <row r="57" spans="1:10" s="35" customFormat="1" ht="14.4" thickBot="1" x14ac:dyDescent="0.3">
      <c r="A57" s="1990"/>
      <c r="B57" s="1991"/>
      <c r="C57" s="2294"/>
      <c r="D57" s="1992"/>
      <c r="E57" s="1993"/>
      <c r="F57" s="1994"/>
      <c r="G57" s="1995"/>
      <c r="H57" s="1996"/>
    </row>
    <row r="58" spans="1:10" s="35" customFormat="1" x14ac:dyDescent="0.25">
      <c r="A58" s="1617"/>
      <c r="B58" s="1969" t="s">
        <v>174</v>
      </c>
      <c r="C58" s="2290"/>
      <c r="D58" s="1985"/>
      <c r="E58" s="1986"/>
      <c r="F58" s="1987"/>
      <c r="G58" s="1988"/>
      <c r="H58" s="1989"/>
    </row>
    <row r="59" spans="1:10" s="35" customFormat="1" x14ac:dyDescent="0.25">
      <c r="A59" s="1617"/>
      <c r="B59" s="1969"/>
      <c r="C59" s="2290"/>
      <c r="D59" s="1985"/>
      <c r="E59" s="1986"/>
      <c r="F59" s="1987"/>
      <c r="G59" s="1988"/>
      <c r="H59" s="1989"/>
    </row>
    <row r="60" spans="1:10" s="35" customFormat="1" ht="55.2" x14ac:dyDescent="0.25">
      <c r="A60" s="1617" t="s">
        <v>176</v>
      </c>
      <c r="B60" s="330" t="s">
        <v>1157</v>
      </c>
      <c r="C60" s="2289"/>
      <c r="D60" s="1985"/>
      <c r="E60" s="1986"/>
      <c r="F60" s="1987"/>
      <c r="G60" s="1988"/>
      <c r="H60" s="1989"/>
    </row>
    <row r="61" spans="1:10" s="35" customFormat="1" x14ac:dyDescent="0.25">
      <c r="A61" s="1617"/>
      <c r="B61" s="670"/>
      <c r="C61" s="2289"/>
      <c r="D61" s="1985"/>
      <c r="E61" s="1986"/>
      <c r="F61" s="1987"/>
      <c r="G61" s="1988"/>
      <c r="H61" s="1989"/>
    </row>
    <row r="62" spans="1:10" s="12" customFormat="1" ht="27.6" x14ac:dyDescent="0.25">
      <c r="A62" s="1592" t="s">
        <v>178</v>
      </c>
      <c r="B62" s="330" t="s">
        <v>181</v>
      </c>
      <c r="C62" s="1589"/>
      <c r="D62" s="251"/>
      <c r="E62" s="1886"/>
      <c r="F62" s="1875"/>
      <c r="G62" s="1870"/>
      <c r="H62" s="1593"/>
    </row>
    <row r="63" spans="1:10" s="35" customFormat="1" x14ac:dyDescent="0.25">
      <c r="A63" s="1617"/>
      <c r="B63" s="670"/>
      <c r="C63" s="2289"/>
      <c r="D63" s="1985"/>
      <c r="E63" s="1986"/>
      <c r="F63" s="1987"/>
      <c r="G63" s="1988"/>
      <c r="H63" s="1989"/>
    </row>
    <row r="64" spans="1:10" s="35" customFormat="1" x14ac:dyDescent="0.25">
      <c r="A64" s="1617"/>
      <c r="B64" s="670" t="s">
        <v>348</v>
      </c>
      <c r="C64" s="2289"/>
      <c r="D64" s="1985"/>
      <c r="E64" s="1986"/>
      <c r="F64" s="1987"/>
      <c r="G64" s="1988"/>
      <c r="H64" s="1989"/>
    </row>
    <row r="65" spans="1:13" s="12" customFormat="1" ht="30.6" customHeight="1" x14ac:dyDescent="0.25">
      <c r="A65" s="1592" t="s">
        <v>182</v>
      </c>
      <c r="B65" s="330" t="s">
        <v>2528</v>
      </c>
      <c r="C65" s="1589"/>
      <c r="D65" s="2285"/>
      <c r="E65" s="1888"/>
      <c r="F65" s="1877"/>
      <c r="G65" s="1882"/>
      <c r="H65" s="1665"/>
    </row>
    <row r="66" spans="1:13" x14ac:dyDescent="0.25">
      <c r="A66" s="1594"/>
      <c r="B66" s="668"/>
      <c r="C66" s="673"/>
      <c r="D66" s="251"/>
      <c r="E66" s="1886"/>
      <c r="F66" s="1875"/>
      <c r="G66" s="1870"/>
      <c r="H66" s="1593"/>
      <c r="I66" s="12"/>
      <c r="J66" s="12"/>
      <c r="K66" s="12"/>
      <c r="L66" s="12"/>
      <c r="M66" s="12"/>
    </row>
    <row r="67" spans="1:13" s="12" customFormat="1" ht="18" customHeight="1" x14ac:dyDescent="0.25">
      <c r="A67" s="1592" t="s">
        <v>441</v>
      </c>
      <c r="B67" s="330" t="s">
        <v>1867</v>
      </c>
      <c r="C67" s="1589">
        <v>5</v>
      </c>
      <c r="D67" s="2285" t="s">
        <v>1292</v>
      </c>
      <c r="E67" s="1888">
        <v>2450</v>
      </c>
      <c r="F67" s="1877">
        <f t="shared" ref="F67" si="30">+$I$1</f>
        <v>0.75</v>
      </c>
      <c r="G67" s="2635">
        <f t="shared" ref="G67" si="31">ROUNDUP(E67/F67,-1)</f>
        <v>3270</v>
      </c>
      <c r="H67" s="1665">
        <f>+G67*C67</f>
        <v>16350</v>
      </c>
    </row>
    <row r="68" spans="1:13" x14ac:dyDescent="0.25">
      <c r="A68" s="1594"/>
      <c r="B68" s="668"/>
      <c r="C68" s="673"/>
      <c r="D68" s="251"/>
      <c r="E68" s="1886"/>
      <c r="F68" s="1875"/>
      <c r="G68" s="1870"/>
      <c r="H68" s="1593"/>
      <c r="I68" s="12"/>
      <c r="J68" s="12"/>
      <c r="K68" s="12"/>
      <c r="L68" s="12"/>
      <c r="M68" s="12"/>
    </row>
    <row r="69" spans="1:13" s="12" customFormat="1" ht="34.799999999999997" customHeight="1" x14ac:dyDescent="0.25">
      <c r="A69" s="1592" t="s">
        <v>184</v>
      </c>
      <c r="B69" s="330" t="s">
        <v>185</v>
      </c>
      <c r="C69" s="1589"/>
      <c r="D69" s="2285"/>
      <c r="E69" s="1888"/>
      <c r="F69" s="1877"/>
      <c r="G69" s="1882"/>
      <c r="H69" s="1665"/>
    </row>
    <row r="70" spans="1:13" x14ac:dyDescent="0.25">
      <c r="A70" s="1594"/>
      <c r="B70" s="668" t="s">
        <v>1150</v>
      </c>
      <c r="C70" s="673">
        <v>80</v>
      </c>
      <c r="D70" s="251" t="s">
        <v>1292</v>
      </c>
      <c r="E70" s="1886">
        <v>2050</v>
      </c>
      <c r="F70" s="1978">
        <f t="shared" ref="F70:F72" si="32">+$I$1</f>
        <v>0.75</v>
      </c>
      <c r="G70" s="2635">
        <f t="shared" ref="G70" si="33">ROUNDUP(E70/F70,-1)</f>
        <v>2740</v>
      </c>
      <c r="H70" s="1665">
        <f>+G70*C70</f>
        <v>219200</v>
      </c>
    </row>
    <row r="71" spans="1:13" x14ac:dyDescent="0.25">
      <c r="A71" s="1594"/>
      <c r="B71" s="668" t="s">
        <v>1409</v>
      </c>
      <c r="C71" s="673">
        <v>45</v>
      </c>
      <c r="D71" s="251" t="s">
        <v>1292</v>
      </c>
      <c r="E71" s="1886">
        <v>2100</v>
      </c>
      <c r="F71" s="1978">
        <f t="shared" si="32"/>
        <v>0.75</v>
      </c>
      <c r="G71" s="2635">
        <f t="shared" ref="G71:G72" si="34">ROUNDUP(E71/F71,-1)</f>
        <v>2800</v>
      </c>
      <c r="H71" s="1665">
        <f t="shared" ref="H71:H72" si="35">+G71*C71</f>
        <v>126000</v>
      </c>
    </row>
    <row r="72" spans="1:13" x14ac:dyDescent="0.25">
      <c r="A72" s="1594"/>
      <c r="B72" s="668" t="s">
        <v>1863</v>
      </c>
      <c r="C72" s="673">
        <v>30</v>
      </c>
      <c r="D72" s="251" t="s">
        <v>1292</v>
      </c>
      <c r="E72" s="1886">
        <v>2150</v>
      </c>
      <c r="F72" s="1978">
        <f t="shared" si="32"/>
        <v>0.75</v>
      </c>
      <c r="G72" s="2635">
        <f t="shared" si="34"/>
        <v>2870</v>
      </c>
      <c r="H72" s="1665">
        <f t="shared" si="35"/>
        <v>86100</v>
      </c>
    </row>
    <row r="73" spans="1:13" x14ac:dyDescent="0.25">
      <c r="A73" s="1594"/>
      <c r="B73" s="668"/>
      <c r="C73" s="673"/>
      <c r="D73" s="251"/>
      <c r="E73" s="1886"/>
      <c r="F73" s="1875"/>
      <c r="G73" s="1870"/>
      <c r="H73" s="1593"/>
    </row>
    <row r="74" spans="1:13" ht="28.8" customHeight="1" x14ac:dyDescent="0.25">
      <c r="A74" s="1594" t="s">
        <v>186</v>
      </c>
      <c r="B74" s="668" t="s">
        <v>1119</v>
      </c>
      <c r="C74" s="673"/>
      <c r="D74" s="251"/>
      <c r="E74" s="1886"/>
      <c r="F74" s="1875"/>
      <c r="G74" s="1870"/>
      <c r="H74" s="1593"/>
    </row>
    <row r="75" spans="1:13" x14ac:dyDescent="0.25">
      <c r="A75" s="1594"/>
      <c r="B75" s="668"/>
      <c r="C75" s="673"/>
      <c r="D75" s="251"/>
      <c r="E75" s="1886"/>
      <c r="F75" s="1875"/>
      <c r="G75" s="1870"/>
      <c r="H75" s="1593"/>
    </row>
    <row r="76" spans="1:13" ht="14.4" customHeight="1" x14ac:dyDescent="0.25">
      <c r="A76" s="1594" t="s">
        <v>445</v>
      </c>
      <c r="B76" s="668" t="s">
        <v>2531</v>
      </c>
      <c r="C76" s="1589">
        <v>90</v>
      </c>
      <c r="D76" s="2285" t="s">
        <v>1292</v>
      </c>
      <c r="E76" s="1888">
        <v>2100</v>
      </c>
      <c r="F76" s="1877">
        <f t="shared" ref="F76:F84" si="36">+$I$1</f>
        <v>0.75</v>
      </c>
      <c r="G76" s="2635">
        <f t="shared" ref="G76" si="37">ROUNDUP(E76/F76,-1)</f>
        <v>2800</v>
      </c>
      <c r="H76" s="1665">
        <f>+G76*C76</f>
        <v>252000</v>
      </c>
    </row>
    <row r="77" spans="1:13" x14ac:dyDescent="0.25">
      <c r="A77" s="1594" t="s">
        <v>446</v>
      </c>
      <c r="B77" s="668" t="s">
        <v>49</v>
      </c>
      <c r="C77" s="1589">
        <v>90</v>
      </c>
      <c r="D77" s="2285" t="s">
        <v>1292</v>
      </c>
      <c r="E77" s="1888">
        <v>2150</v>
      </c>
      <c r="F77" s="1877">
        <f t="shared" si="36"/>
        <v>0.75</v>
      </c>
      <c r="G77" s="2635">
        <f t="shared" ref="G77" si="38">ROUNDUP(E77/F77,-1)</f>
        <v>2870</v>
      </c>
      <c r="H77" s="1665">
        <f>+G77*C77</f>
        <v>258300</v>
      </c>
    </row>
    <row r="78" spans="1:13" s="12" customFormat="1" x14ac:dyDescent="0.25">
      <c r="A78" s="1592" t="s">
        <v>447</v>
      </c>
      <c r="B78" s="330" t="s">
        <v>2532</v>
      </c>
      <c r="C78" s="1589">
        <v>90</v>
      </c>
      <c r="D78" s="2285" t="s">
        <v>1292</v>
      </c>
      <c r="E78" s="1888">
        <v>2200</v>
      </c>
      <c r="F78" s="1877">
        <f t="shared" si="36"/>
        <v>0.75</v>
      </c>
      <c r="G78" s="2635">
        <f t="shared" ref="G78" si="39">ROUNDUP(E78/F78,-1)</f>
        <v>2940</v>
      </c>
      <c r="H78" s="1665">
        <f>+G78*C78</f>
        <v>264600</v>
      </c>
    </row>
    <row r="79" spans="1:13" s="12" customFormat="1" x14ac:dyDescent="0.25">
      <c r="A79" s="1594" t="s">
        <v>448</v>
      </c>
      <c r="B79" s="330" t="s">
        <v>2533</v>
      </c>
      <c r="C79" s="1589">
        <v>40</v>
      </c>
      <c r="D79" s="2285" t="s">
        <v>1292</v>
      </c>
      <c r="E79" s="1888">
        <v>2250</v>
      </c>
      <c r="F79" s="1877">
        <f t="shared" si="36"/>
        <v>0.75</v>
      </c>
      <c r="G79" s="2635">
        <f t="shared" ref="G79" si="40">ROUNDUP(E79/F79,-1)</f>
        <v>3000</v>
      </c>
      <c r="H79" s="1665">
        <f>+G79*C79</f>
        <v>120000</v>
      </c>
    </row>
    <row r="80" spans="1:13" s="12" customFormat="1" x14ac:dyDescent="0.25">
      <c r="A80" s="1592"/>
      <c r="B80" s="330"/>
      <c r="C80" s="1589"/>
      <c r="D80" s="831"/>
      <c r="E80" s="1888"/>
      <c r="F80" s="1877"/>
      <c r="G80" s="1984"/>
      <c r="H80" s="1665"/>
    </row>
    <row r="81" spans="1:19" s="12" customFormat="1" x14ac:dyDescent="0.25">
      <c r="A81" s="1592"/>
      <c r="B81" s="330"/>
      <c r="C81" s="1589"/>
      <c r="D81" s="831"/>
      <c r="E81" s="1888"/>
      <c r="F81" s="1877"/>
      <c r="G81" s="1984"/>
      <c r="H81" s="1665"/>
    </row>
    <row r="82" spans="1:19" s="12" customFormat="1" x14ac:dyDescent="0.25">
      <c r="A82" s="1592" t="s">
        <v>2340</v>
      </c>
      <c r="B82" s="330" t="s">
        <v>54</v>
      </c>
      <c r="C82" s="1589">
        <v>18</v>
      </c>
      <c r="D82" s="831" t="s">
        <v>1292</v>
      </c>
      <c r="E82" s="1888">
        <f>+E67</f>
        <v>2450</v>
      </c>
      <c r="F82" s="1877">
        <f t="shared" si="36"/>
        <v>0.75</v>
      </c>
      <c r="G82" s="2635">
        <f t="shared" ref="G82" si="41">ROUNDUP(E82/F82,-1)</f>
        <v>3270</v>
      </c>
      <c r="H82" s="1665">
        <f>+G82*C82</f>
        <v>58860</v>
      </c>
    </row>
    <row r="83" spans="1:19" x14ac:dyDescent="0.25">
      <c r="A83" s="1594" t="s">
        <v>2545</v>
      </c>
      <c r="B83" s="668" t="s">
        <v>2338</v>
      </c>
      <c r="C83" s="1589">
        <v>18</v>
      </c>
      <c r="D83" s="831" t="s">
        <v>1292</v>
      </c>
      <c r="E83" s="1888">
        <f>+E82*1.02</f>
        <v>2499</v>
      </c>
      <c r="F83" s="1877">
        <f t="shared" si="36"/>
        <v>0.75</v>
      </c>
      <c r="G83" s="2635">
        <f t="shared" ref="G83" si="42">ROUNDUP(E83/F83,-1)</f>
        <v>3340</v>
      </c>
      <c r="H83" s="1665">
        <f>+G83*C83</f>
        <v>60120</v>
      </c>
    </row>
    <row r="84" spans="1:19" x14ac:dyDescent="0.25">
      <c r="A84" s="1594" t="s">
        <v>2688</v>
      </c>
      <c r="B84" s="668" t="s">
        <v>2525</v>
      </c>
      <c r="C84" s="1589">
        <v>18</v>
      </c>
      <c r="D84" s="831" t="s">
        <v>1292</v>
      </c>
      <c r="E84" s="1888">
        <f>+E82*1.04</f>
        <v>2548</v>
      </c>
      <c r="F84" s="1877">
        <f t="shared" si="36"/>
        <v>0.75</v>
      </c>
      <c r="G84" s="2635">
        <f t="shared" ref="G84" si="43">ROUNDUP(E84/F84,-1)</f>
        <v>3400</v>
      </c>
      <c r="H84" s="1665">
        <f>+G84*C84</f>
        <v>61200</v>
      </c>
    </row>
    <row r="85" spans="1:19" x14ac:dyDescent="0.25">
      <c r="A85" s="1594"/>
      <c r="B85" s="668"/>
      <c r="C85" s="1589"/>
      <c r="D85" s="831"/>
      <c r="E85" s="1888"/>
      <c r="F85" s="1877"/>
      <c r="G85" s="1984"/>
      <c r="H85" s="1665"/>
    </row>
    <row r="86" spans="1:19" ht="14.4" thickBot="1" x14ac:dyDescent="0.3">
      <c r="A86" s="1597"/>
      <c r="B86" s="2221"/>
      <c r="C86" s="2295"/>
      <c r="D86" s="774"/>
      <c r="E86" s="2222"/>
      <c r="F86" s="2223"/>
      <c r="G86" s="2224"/>
      <c r="H86" s="2225"/>
    </row>
    <row r="87" spans="1:19" x14ac:dyDescent="0.25">
      <c r="A87" s="1594"/>
      <c r="B87" s="668"/>
      <c r="C87" s="673"/>
      <c r="D87" s="251"/>
      <c r="E87" s="1886"/>
      <c r="F87" s="1875"/>
      <c r="G87" s="1870"/>
      <c r="H87" s="1593"/>
    </row>
    <row r="88" spans="1:19" ht="27.6" x14ac:dyDescent="0.25">
      <c r="A88" s="1594" t="s">
        <v>444</v>
      </c>
      <c r="B88" s="668" t="s">
        <v>1263</v>
      </c>
      <c r="C88" s="673"/>
      <c r="D88" s="251"/>
      <c r="E88" s="1886"/>
      <c r="F88" s="1875"/>
      <c r="G88" s="1870"/>
      <c r="H88" s="1593"/>
    </row>
    <row r="89" spans="1:19" x14ac:dyDescent="0.25">
      <c r="A89" s="1594" t="s">
        <v>449</v>
      </c>
      <c r="B89" s="668" t="s">
        <v>2529</v>
      </c>
      <c r="C89" s="673">
        <v>152</v>
      </c>
      <c r="D89" s="251" t="s">
        <v>1292</v>
      </c>
      <c r="E89" s="1886">
        <v>2050</v>
      </c>
      <c r="F89" s="1978">
        <f t="shared" ref="F89:F92" si="44">+$I$1</f>
        <v>0.75</v>
      </c>
      <c r="G89" s="2635">
        <f t="shared" ref="G89:G91" si="45">ROUNDUP(E89/F89,-1)</f>
        <v>2740</v>
      </c>
      <c r="H89" s="1665">
        <f t="shared" ref="H89:H91" si="46">+G89*C89</f>
        <v>416480</v>
      </c>
    </row>
    <row r="90" spans="1:19" x14ac:dyDescent="0.25">
      <c r="A90" s="1594" t="s">
        <v>450</v>
      </c>
      <c r="B90" s="668" t="s">
        <v>1265</v>
      </c>
      <c r="C90" s="673">
        <v>152</v>
      </c>
      <c r="D90" s="251" t="s">
        <v>1292</v>
      </c>
      <c r="E90" s="1886">
        <f>+E89*1.02</f>
        <v>2091</v>
      </c>
      <c r="F90" s="1978">
        <f t="shared" si="44"/>
        <v>0.75</v>
      </c>
      <c r="G90" s="2635">
        <f t="shared" si="45"/>
        <v>2790</v>
      </c>
      <c r="H90" s="1665">
        <f t="shared" si="46"/>
        <v>424080</v>
      </c>
    </row>
    <row r="91" spans="1:19" x14ac:dyDescent="0.25">
      <c r="A91" s="1594" t="s">
        <v>451</v>
      </c>
      <c r="B91" s="668" t="s">
        <v>2639</v>
      </c>
      <c r="C91" s="673">
        <v>180</v>
      </c>
      <c r="D91" s="251" t="str">
        <f>D90</f>
        <v>Sqm</v>
      </c>
      <c r="E91" s="1886">
        <f>+E89*1.04</f>
        <v>2132</v>
      </c>
      <c r="F91" s="1978">
        <f t="shared" si="44"/>
        <v>0.75</v>
      </c>
      <c r="G91" s="2635">
        <f t="shared" si="45"/>
        <v>2850</v>
      </c>
      <c r="H91" s="1665">
        <f t="shared" si="46"/>
        <v>513000</v>
      </c>
    </row>
    <row r="92" spans="1:19" x14ac:dyDescent="0.25">
      <c r="A92" s="1594" t="s">
        <v>452</v>
      </c>
      <c r="B92" s="668" t="s">
        <v>1918</v>
      </c>
      <c r="C92" s="673">
        <v>55</v>
      </c>
      <c r="D92" s="251" t="str">
        <f>D91</f>
        <v>Sqm</v>
      </c>
      <c r="E92" s="1886">
        <f>+E89*1.06</f>
        <v>2173</v>
      </c>
      <c r="F92" s="1978">
        <f t="shared" si="44"/>
        <v>0.75</v>
      </c>
      <c r="G92" s="2635">
        <f t="shared" ref="G92" si="47">ROUNDUP(E92/F92,-1)</f>
        <v>2900</v>
      </c>
      <c r="H92" s="1665">
        <f t="shared" ref="H92" si="48">+G92*C92</f>
        <v>159500</v>
      </c>
    </row>
    <row r="93" spans="1:19" x14ac:dyDescent="0.25">
      <c r="A93" s="1594"/>
      <c r="B93" s="668"/>
      <c r="C93" s="673"/>
      <c r="D93" s="251"/>
      <c r="E93" s="1886"/>
      <c r="F93" s="1875"/>
      <c r="G93" s="1870"/>
      <c r="H93" s="1593"/>
    </row>
    <row r="94" spans="1:19" ht="32.4" customHeight="1" x14ac:dyDescent="0.25">
      <c r="A94" s="1594" t="s">
        <v>187</v>
      </c>
      <c r="B94" s="668" t="s">
        <v>1264</v>
      </c>
      <c r="C94" s="673"/>
      <c r="D94" s="251"/>
      <c r="E94" s="1886"/>
      <c r="F94" s="1875"/>
      <c r="G94" s="1870"/>
      <c r="H94" s="1593"/>
    </row>
    <row r="95" spans="1:19" x14ac:dyDescent="0.25">
      <c r="A95" s="1594" t="s">
        <v>454</v>
      </c>
      <c r="B95" s="668" t="s">
        <v>1266</v>
      </c>
      <c r="C95" s="673">
        <v>23</v>
      </c>
      <c r="D95" s="251" t="s">
        <v>1292</v>
      </c>
      <c r="E95" s="1886">
        <v>2200</v>
      </c>
      <c r="F95" s="1978">
        <f t="shared" ref="F95:F98" si="49">+$I$1</f>
        <v>0.75</v>
      </c>
      <c r="G95" s="2635">
        <f t="shared" ref="G95:G96" si="50">ROUNDUP(E95/F95,-1)</f>
        <v>2940</v>
      </c>
      <c r="H95" s="1665">
        <f t="shared" ref="H95:H96" si="51">+G95*C95</f>
        <v>67620</v>
      </c>
    </row>
    <row r="96" spans="1:19" x14ac:dyDescent="0.25">
      <c r="A96" s="1594" t="s">
        <v>455</v>
      </c>
      <c r="B96" s="668" t="s">
        <v>1267</v>
      </c>
      <c r="C96" s="673">
        <v>23</v>
      </c>
      <c r="D96" s="251" t="s">
        <v>1292</v>
      </c>
      <c r="E96" s="1886">
        <f>2200*1.02</f>
        <v>2244</v>
      </c>
      <c r="F96" s="1978">
        <f t="shared" si="49"/>
        <v>0.75</v>
      </c>
      <c r="G96" s="2635">
        <f t="shared" si="50"/>
        <v>3000</v>
      </c>
      <c r="H96" s="1665">
        <f t="shared" si="51"/>
        <v>69000</v>
      </c>
      <c r="Q96" s="24">
        <f>11+0.9</f>
        <v>11.9</v>
      </c>
      <c r="R96" s="24">
        <f>0.55+0.55+0.3</f>
        <v>1.4000000000000001</v>
      </c>
      <c r="S96" s="24">
        <f>R96*Q96</f>
        <v>16.660000000000004</v>
      </c>
    </row>
    <row r="97" spans="1:8" x14ac:dyDescent="0.25">
      <c r="A97" s="1997" t="s">
        <v>456</v>
      </c>
      <c r="B97" s="668" t="s">
        <v>2640</v>
      </c>
      <c r="C97" s="673">
        <v>36</v>
      </c>
      <c r="D97" s="251" t="str">
        <f>D96</f>
        <v>Sqm</v>
      </c>
      <c r="E97" s="1886">
        <f>+E95*1.04</f>
        <v>2288</v>
      </c>
      <c r="F97" s="1978">
        <f t="shared" si="49"/>
        <v>0.75</v>
      </c>
      <c r="G97" s="2635">
        <f>ROUNDUP(E97/F97,-1)</f>
        <v>3060</v>
      </c>
      <c r="H97" s="1665">
        <f>+G97*C97</f>
        <v>110160</v>
      </c>
    </row>
    <row r="98" spans="1:8" x14ac:dyDescent="0.25">
      <c r="A98" s="1997" t="s">
        <v>457</v>
      </c>
      <c r="B98" s="668" t="s">
        <v>2530</v>
      </c>
      <c r="C98" s="2296">
        <v>9</v>
      </c>
      <c r="D98" s="1998" t="str">
        <f>D97</f>
        <v>Sqm</v>
      </c>
      <c r="E98" s="1999">
        <f>+E95*1.06</f>
        <v>2332</v>
      </c>
      <c r="F98" s="2000">
        <f t="shared" si="49"/>
        <v>0.75</v>
      </c>
      <c r="G98" s="2636">
        <f>ROUNDUP(E98/F98,-1)</f>
        <v>3110</v>
      </c>
      <c r="H98" s="2637">
        <f>+G98*C98</f>
        <v>27990</v>
      </c>
    </row>
    <row r="99" spans="1:8" s="676" customFormat="1" x14ac:dyDescent="0.25">
      <c r="A99" s="1595"/>
      <c r="B99" s="2001"/>
      <c r="C99" s="673"/>
      <c r="D99" s="672"/>
      <c r="E99" s="1886"/>
      <c r="F99" s="1875"/>
      <c r="G99" s="1870"/>
      <c r="H99" s="1596"/>
    </row>
    <row r="100" spans="1:8" s="676" customFormat="1" ht="14.4" thickBot="1" x14ac:dyDescent="0.3">
      <c r="A100" s="1934"/>
      <c r="B100" s="2002"/>
      <c r="C100" s="2003"/>
      <c r="D100" s="2004"/>
      <c r="E100" s="1972"/>
      <c r="F100" s="1973"/>
      <c r="G100" s="1974"/>
      <c r="H100" s="1600"/>
    </row>
    <row r="101" spans="1:8" s="12" customFormat="1" x14ac:dyDescent="0.25">
      <c r="A101" s="1592"/>
      <c r="B101" s="1969" t="s">
        <v>191</v>
      </c>
      <c r="C101" s="2290"/>
      <c r="D101" s="251"/>
      <c r="E101" s="1886"/>
      <c r="F101" s="1875"/>
      <c r="G101" s="1870"/>
      <c r="H101" s="1593"/>
    </row>
    <row r="102" spans="1:8" s="12" customFormat="1" ht="96" customHeight="1" x14ac:dyDescent="0.25">
      <c r="A102" s="1592"/>
      <c r="B102" s="330" t="s">
        <v>2521</v>
      </c>
      <c r="C102" s="2290"/>
      <c r="D102" s="251"/>
      <c r="E102" s="1886"/>
      <c r="F102" s="1875"/>
      <c r="G102" s="1870"/>
      <c r="H102" s="1593"/>
    </row>
    <row r="103" spans="1:8" s="12" customFormat="1" x14ac:dyDescent="0.25">
      <c r="A103" s="1592"/>
      <c r="B103" s="670"/>
      <c r="C103" s="2290"/>
      <c r="D103" s="251"/>
      <c r="E103" s="1886"/>
      <c r="F103" s="1875"/>
      <c r="G103" s="1870"/>
      <c r="H103" s="1593"/>
    </row>
    <row r="104" spans="1:8" ht="52.8" customHeight="1" x14ac:dyDescent="0.25">
      <c r="A104" s="1594" t="s">
        <v>192</v>
      </c>
      <c r="B104" s="668" t="s">
        <v>2342</v>
      </c>
      <c r="C104" s="673"/>
      <c r="D104" s="251"/>
      <c r="E104" s="1886"/>
      <c r="F104" s="1875"/>
      <c r="G104" s="1870"/>
      <c r="H104" s="1593"/>
    </row>
    <row r="105" spans="1:8" x14ac:dyDescent="0.25">
      <c r="A105" s="1615" t="s">
        <v>462</v>
      </c>
      <c r="B105" s="668" t="s">
        <v>99</v>
      </c>
      <c r="C105" s="673">
        <f>+C17*78</f>
        <v>780</v>
      </c>
      <c r="D105" s="251" t="s">
        <v>134</v>
      </c>
      <c r="E105" s="1886">
        <f>+'Rate Breakdowns'!G586</f>
        <v>470.34015625000001</v>
      </c>
      <c r="F105" s="1978">
        <f t="shared" ref="F105:F109" si="52">+$I$1</f>
        <v>0.75</v>
      </c>
      <c r="G105" s="2635">
        <f>ROUNDUP(E105/F105,-1)</f>
        <v>630</v>
      </c>
      <c r="H105" s="1665">
        <f t="shared" ref="H105:H109" si="53">+G105*C105</f>
        <v>491400</v>
      </c>
    </row>
    <row r="106" spans="1:8" x14ac:dyDescent="0.25">
      <c r="A106" s="1615" t="s">
        <v>1348</v>
      </c>
      <c r="B106" s="668" t="s">
        <v>1349</v>
      </c>
      <c r="C106" s="673">
        <f>+C16*126</f>
        <v>252</v>
      </c>
      <c r="D106" s="251" t="s">
        <v>134</v>
      </c>
      <c r="E106" s="1886">
        <f>+'Rate Breakdowns'!G586</f>
        <v>470.34015625000001</v>
      </c>
      <c r="F106" s="1978">
        <f t="shared" si="52"/>
        <v>0.75</v>
      </c>
      <c r="G106" s="2635">
        <f t="shared" ref="G106:G109" si="54">ROUNDUP(E106/F106,-1)</f>
        <v>630</v>
      </c>
      <c r="H106" s="1665">
        <f t="shared" si="53"/>
        <v>158760</v>
      </c>
    </row>
    <row r="107" spans="1:8" x14ac:dyDescent="0.25">
      <c r="A107" s="1615" t="s">
        <v>1351</v>
      </c>
      <c r="B107" s="668" t="s">
        <v>1352</v>
      </c>
      <c r="C107" s="673">
        <f>+C22*6</f>
        <v>84</v>
      </c>
      <c r="D107" s="251" t="s">
        <v>134</v>
      </c>
      <c r="E107" s="1886">
        <f>+E105</f>
        <v>470.34015625000001</v>
      </c>
      <c r="F107" s="1978">
        <f t="shared" si="52"/>
        <v>0.75</v>
      </c>
      <c r="G107" s="2635">
        <f t="shared" si="54"/>
        <v>630</v>
      </c>
      <c r="H107" s="1665">
        <f t="shared" si="53"/>
        <v>52920</v>
      </c>
    </row>
    <row r="108" spans="1:8" x14ac:dyDescent="0.25">
      <c r="A108" s="1615" t="s">
        <v>1410</v>
      </c>
      <c r="B108" s="668" t="s">
        <v>1864</v>
      </c>
      <c r="C108" s="673">
        <f>+C16*110</f>
        <v>220</v>
      </c>
      <c r="D108" s="251" t="s">
        <v>134</v>
      </c>
      <c r="E108" s="1886">
        <f>+E105</f>
        <v>470.34015625000001</v>
      </c>
      <c r="F108" s="1978">
        <f t="shared" si="52"/>
        <v>0.75</v>
      </c>
      <c r="G108" s="2635">
        <f t="shared" si="54"/>
        <v>630</v>
      </c>
      <c r="H108" s="1665">
        <f t="shared" si="53"/>
        <v>138600</v>
      </c>
    </row>
    <row r="109" spans="1:8" x14ac:dyDescent="0.25">
      <c r="A109" s="1615" t="s">
        <v>1411</v>
      </c>
      <c r="B109" s="668" t="s">
        <v>1412</v>
      </c>
      <c r="C109" s="673">
        <v>90</v>
      </c>
      <c r="D109" s="251" t="s">
        <v>134</v>
      </c>
      <c r="E109" s="1886">
        <f>+E105</f>
        <v>470.34015625000001</v>
      </c>
      <c r="F109" s="1978">
        <f t="shared" si="52"/>
        <v>0.75</v>
      </c>
      <c r="G109" s="2635">
        <f t="shared" si="54"/>
        <v>630</v>
      </c>
      <c r="H109" s="1665">
        <f t="shared" si="53"/>
        <v>56700</v>
      </c>
    </row>
    <row r="110" spans="1:8" x14ac:dyDescent="0.25">
      <c r="A110" s="1615"/>
      <c r="B110" s="668"/>
      <c r="C110" s="673"/>
      <c r="D110" s="251"/>
      <c r="E110" s="1886"/>
      <c r="F110" s="1875"/>
      <c r="G110" s="1870"/>
      <c r="H110" s="1593"/>
    </row>
    <row r="111" spans="1:8" ht="41.4" x14ac:dyDescent="0.25">
      <c r="A111" s="1594" t="s">
        <v>193</v>
      </c>
      <c r="B111" s="668" t="s">
        <v>2416</v>
      </c>
      <c r="C111" s="673"/>
      <c r="D111" s="251"/>
      <c r="E111" s="1886"/>
      <c r="F111" s="1875"/>
      <c r="G111" s="1870"/>
      <c r="H111" s="1593"/>
    </row>
    <row r="112" spans="1:8" x14ac:dyDescent="0.25">
      <c r="A112" s="1615" t="s">
        <v>463</v>
      </c>
      <c r="B112" s="668" t="s">
        <v>98</v>
      </c>
      <c r="C112" s="673">
        <f>+C34*126</f>
        <v>756</v>
      </c>
      <c r="D112" s="251" t="s">
        <v>134</v>
      </c>
      <c r="E112" s="1886">
        <f>+E105</f>
        <v>470.34015625000001</v>
      </c>
      <c r="F112" s="1978">
        <f t="shared" ref="F112:F115" si="55">+$I$1</f>
        <v>0.75</v>
      </c>
      <c r="G112" s="2635">
        <f>ROUNDUP(E112/F112,-1)</f>
        <v>630</v>
      </c>
      <c r="H112" s="1665">
        <f t="shared" ref="H112" si="56">+G112*C112</f>
        <v>476280</v>
      </c>
    </row>
    <row r="113" spans="1:8" x14ac:dyDescent="0.25">
      <c r="A113" s="1615" t="s">
        <v>464</v>
      </c>
      <c r="B113" s="668" t="s">
        <v>2534</v>
      </c>
      <c r="C113" s="673">
        <f>+C47*112</f>
        <v>1232</v>
      </c>
      <c r="D113" s="251" t="s">
        <v>134</v>
      </c>
      <c r="E113" s="1886">
        <f>+E105</f>
        <v>470.34015625000001</v>
      </c>
      <c r="F113" s="1978">
        <f t="shared" si="55"/>
        <v>0.75</v>
      </c>
      <c r="G113" s="2635">
        <f t="shared" ref="G113:G115" si="57">ROUNDUP(E113/F113,-1)</f>
        <v>630</v>
      </c>
      <c r="H113" s="1665">
        <f t="shared" ref="H113:H115" si="58">+G113*C113</f>
        <v>776160</v>
      </c>
    </row>
    <row r="114" spans="1:8" x14ac:dyDescent="0.25">
      <c r="A114" s="1615" t="s">
        <v>1350</v>
      </c>
      <c r="B114" s="668" t="s">
        <v>2535</v>
      </c>
      <c r="C114" s="673">
        <f>+C52*95</f>
        <v>2090</v>
      </c>
      <c r="D114" s="251" t="s">
        <v>134</v>
      </c>
      <c r="E114" s="1886">
        <f>+E105</f>
        <v>470.34015625000001</v>
      </c>
      <c r="F114" s="1978">
        <f t="shared" si="55"/>
        <v>0.75</v>
      </c>
      <c r="G114" s="2635">
        <f t="shared" si="57"/>
        <v>630</v>
      </c>
      <c r="H114" s="1665">
        <f>+G114*C114</f>
        <v>1316700</v>
      </c>
    </row>
    <row r="115" spans="1:8" x14ac:dyDescent="0.25">
      <c r="A115" s="1615" t="s">
        <v>2341</v>
      </c>
      <c r="B115" s="668" t="s">
        <v>2491</v>
      </c>
      <c r="C115" s="673">
        <f>+C39*96</f>
        <v>240</v>
      </c>
      <c r="D115" s="251" t="s">
        <v>134</v>
      </c>
      <c r="E115" s="1886">
        <f>+E105</f>
        <v>470.34015625000001</v>
      </c>
      <c r="F115" s="1978">
        <f t="shared" si="55"/>
        <v>0.75</v>
      </c>
      <c r="G115" s="2636">
        <f t="shared" si="57"/>
        <v>630</v>
      </c>
      <c r="H115" s="2637">
        <f t="shared" si="58"/>
        <v>151200</v>
      </c>
    </row>
    <row r="116" spans="1:8" ht="14.4" thickBot="1" x14ac:dyDescent="0.3">
      <c r="A116" s="1597"/>
      <c r="B116" s="2221"/>
      <c r="C116" s="2003"/>
      <c r="D116" s="730"/>
      <c r="E116" s="1972"/>
      <c r="F116" s="1973"/>
      <c r="G116" s="1974"/>
      <c r="H116" s="1598"/>
    </row>
    <row r="117" spans="1:8" ht="41.4" x14ac:dyDescent="0.25">
      <c r="A117" s="1594" t="s">
        <v>195</v>
      </c>
      <c r="B117" s="668" t="s">
        <v>2417</v>
      </c>
      <c r="C117" s="673"/>
      <c r="D117" s="251"/>
      <c r="E117" s="1886"/>
      <c r="F117" s="1875"/>
      <c r="G117" s="1870"/>
      <c r="H117" s="1593"/>
    </row>
    <row r="118" spans="1:8" x14ac:dyDescent="0.25">
      <c r="A118" s="1594" t="s">
        <v>465</v>
      </c>
      <c r="B118" s="668" t="s">
        <v>98</v>
      </c>
      <c r="C118" s="673">
        <f>+C35*126</f>
        <v>756</v>
      </c>
      <c r="D118" s="251" t="s">
        <v>134</v>
      </c>
      <c r="E118" s="1886">
        <f>+E105*1.01</f>
        <v>475.04355781250001</v>
      </c>
      <c r="F118" s="1978">
        <f t="shared" ref="F118:F121" si="59">+$I$1</f>
        <v>0.75</v>
      </c>
      <c r="G118" s="2633">
        <f>ROUNDUP(E118/F118,-1)</f>
        <v>640</v>
      </c>
      <c r="H118" s="2634">
        <f t="shared" ref="H118:H121" si="60">+G118*C118</f>
        <v>483840</v>
      </c>
    </row>
    <row r="119" spans="1:8" x14ac:dyDescent="0.25">
      <c r="A119" s="1594" t="s">
        <v>466</v>
      </c>
      <c r="B119" s="668" t="s">
        <v>2536</v>
      </c>
      <c r="C119" s="673">
        <f>+C48*112</f>
        <v>1232</v>
      </c>
      <c r="D119" s="251" t="s">
        <v>134</v>
      </c>
      <c r="E119" s="1886">
        <f>+E118</f>
        <v>475.04355781250001</v>
      </c>
      <c r="F119" s="1978">
        <f t="shared" si="59"/>
        <v>0.75</v>
      </c>
      <c r="G119" s="2635">
        <f t="shared" ref="G119:G121" si="61">ROUNDUP(E119/F119,-1)</f>
        <v>640</v>
      </c>
      <c r="H119" s="1665">
        <f t="shared" si="60"/>
        <v>788480</v>
      </c>
    </row>
    <row r="120" spans="1:8" x14ac:dyDescent="0.25">
      <c r="A120" s="1594" t="s">
        <v>1353</v>
      </c>
      <c r="B120" s="668" t="s">
        <v>2537</v>
      </c>
      <c r="C120" s="673">
        <f>+C53*95</f>
        <v>2090</v>
      </c>
      <c r="D120" s="251" t="s">
        <v>134</v>
      </c>
      <c r="E120" s="1886">
        <f>+E118</f>
        <v>475.04355781250001</v>
      </c>
      <c r="F120" s="1978">
        <f t="shared" si="59"/>
        <v>0.75</v>
      </c>
      <c r="G120" s="2635">
        <f t="shared" si="61"/>
        <v>640</v>
      </c>
      <c r="H120" s="1665">
        <f t="shared" si="60"/>
        <v>1337600</v>
      </c>
    </row>
    <row r="121" spans="1:8" x14ac:dyDescent="0.25">
      <c r="A121" s="1594" t="s">
        <v>1413</v>
      </c>
      <c r="B121" s="668" t="s">
        <v>2492</v>
      </c>
      <c r="C121" s="673">
        <f>+C40*96</f>
        <v>240</v>
      </c>
      <c r="D121" s="251" t="s">
        <v>134</v>
      </c>
      <c r="E121" s="1886">
        <f>+E118</f>
        <v>475.04355781250001</v>
      </c>
      <c r="F121" s="1978">
        <f t="shared" si="59"/>
        <v>0.75</v>
      </c>
      <c r="G121" s="2635">
        <f t="shared" si="61"/>
        <v>640</v>
      </c>
      <c r="H121" s="1665">
        <f t="shared" si="60"/>
        <v>153600</v>
      </c>
    </row>
    <row r="122" spans="1:8" x14ac:dyDescent="0.25">
      <c r="A122" s="1594"/>
      <c r="B122" s="668"/>
      <c r="C122" s="673"/>
      <c r="D122" s="251"/>
      <c r="E122" s="1886"/>
      <c r="F122" s="1875"/>
      <c r="G122" s="2635"/>
      <c r="H122" s="1593"/>
    </row>
    <row r="123" spans="1:8" x14ac:dyDescent="0.25">
      <c r="A123" s="1594"/>
      <c r="B123" s="668"/>
      <c r="C123" s="673"/>
      <c r="D123" s="251"/>
      <c r="E123" s="1886"/>
      <c r="F123" s="1875"/>
      <c r="G123" s="2635"/>
      <c r="H123" s="1593"/>
    </row>
    <row r="124" spans="1:8" ht="41.4" x14ac:dyDescent="0.25">
      <c r="A124" s="1594" t="s">
        <v>197</v>
      </c>
      <c r="B124" s="668" t="s">
        <v>2543</v>
      </c>
      <c r="C124" s="673"/>
      <c r="D124" s="251"/>
      <c r="E124" s="1886"/>
      <c r="F124" s="1875"/>
      <c r="G124" s="1870"/>
      <c r="H124" s="1593"/>
    </row>
    <row r="125" spans="1:8" x14ac:dyDescent="0.25">
      <c r="A125" s="1594" t="s">
        <v>467</v>
      </c>
      <c r="B125" s="668" t="s">
        <v>98</v>
      </c>
      <c r="C125" s="673">
        <f>+C36*126</f>
        <v>756</v>
      </c>
      <c r="D125" s="251" t="s">
        <v>134</v>
      </c>
      <c r="E125" s="1886">
        <f>+E105*1.02</f>
        <v>479.74695937500002</v>
      </c>
      <c r="F125" s="1978">
        <f t="shared" ref="F125:F128" si="62">+$I$1</f>
        <v>0.75</v>
      </c>
      <c r="G125" s="2635">
        <f>ROUNDUP(E125/F125,-1)</f>
        <v>640</v>
      </c>
      <c r="H125" s="1665">
        <f>+G125*C125</f>
        <v>483840</v>
      </c>
    </row>
    <row r="126" spans="1:8" x14ac:dyDescent="0.25">
      <c r="A126" s="1594" t="s">
        <v>468</v>
      </c>
      <c r="B126" s="668" t="s">
        <v>2538</v>
      </c>
      <c r="C126" s="673">
        <f>+C49*142</f>
        <v>2698</v>
      </c>
      <c r="D126" s="251" t="s">
        <v>134</v>
      </c>
      <c r="E126" s="1886">
        <f>+E125</f>
        <v>479.74695937500002</v>
      </c>
      <c r="F126" s="1978">
        <f t="shared" si="62"/>
        <v>0.75</v>
      </c>
      <c r="G126" s="2635">
        <f t="shared" ref="G126:G127" si="63">ROUNDUP(E126/F126,-1)</f>
        <v>640</v>
      </c>
      <c r="H126" s="1665">
        <f>+G126*C126</f>
        <v>1726720</v>
      </c>
    </row>
    <row r="127" spans="1:8" x14ac:dyDescent="0.25">
      <c r="A127" s="1594" t="s">
        <v>2546</v>
      </c>
      <c r="B127" s="668" t="s">
        <v>2539</v>
      </c>
      <c r="C127" s="673">
        <f>+C54*122</f>
        <v>3416</v>
      </c>
      <c r="D127" s="251" t="s">
        <v>134</v>
      </c>
      <c r="E127" s="1886">
        <f>+E125</f>
        <v>479.74695937500002</v>
      </c>
      <c r="F127" s="1978">
        <f t="shared" si="62"/>
        <v>0.75</v>
      </c>
      <c r="G127" s="2635">
        <f t="shared" si="63"/>
        <v>640</v>
      </c>
      <c r="H127" s="1665">
        <f>+G127*C127</f>
        <v>2186240</v>
      </c>
    </row>
    <row r="128" spans="1:8" x14ac:dyDescent="0.25">
      <c r="A128" s="1594" t="s">
        <v>2641</v>
      </c>
      <c r="B128" s="668" t="s">
        <v>2542</v>
      </c>
      <c r="C128" s="673">
        <f>+C41*96</f>
        <v>240</v>
      </c>
      <c r="D128" s="251" t="s">
        <v>134</v>
      </c>
      <c r="E128" s="1886">
        <f>+E125</f>
        <v>479.74695937500002</v>
      </c>
      <c r="F128" s="1978">
        <f t="shared" si="62"/>
        <v>0.75</v>
      </c>
      <c r="G128" s="2635">
        <f t="shared" ref="G128" si="64">ROUNDUP(E128/F128,-1)</f>
        <v>640</v>
      </c>
      <c r="H128" s="1665">
        <f>+G128*C128</f>
        <v>153600</v>
      </c>
    </row>
    <row r="129" spans="1:8" x14ac:dyDescent="0.25">
      <c r="A129" s="1594"/>
      <c r="B129" s="668"/>
      <c r="C129" s="673"/>
      <c r="D129" s="251"/>
      <c r="E129" s="1886"/>
      <c r="F129" s="1978"/>
      <c r="G129" s="1984"/>
      <c r="H129" s="1665"/>
    </row>
    <row r="130" spans="1:8" x14ac:dyDescent="0.25">
      <c r="A130" s="1594"/>
      <c r="B130" s="668"/>
      <c r="C130" s="673"/>
      <c r="D130" s="251"/>
      <c r="E130" s="1886"/>
      <c r="F130" s="1978"/>
      <c r="G130" s="1984"/>
      <c r="H130" s="1665"/>
    </row>
    <row r="131" spans="1:8" ht="41.4" x14ac:dyDescent="0.25">
      <c r="A131" s="1594" t="s">
        <v>198</v>
      </c>
      <c r="B131" s="668" t="s">
        <v>2544</v>
      </c>
      <c r="C131" s="673"/>
      <c r="D131" s="251"/>
      <c r="E131" s="1886"/>
      <c r="F131" s="1875"/>
      <c r="G131" s="1870"/>
      <c r="H131" s="1593"/>
    </row>
    <row r="132" spans="1:8" x14ac:dyDescent="0.25">
      <c r="A132" s="1594" t="s">
        <v>469</v>
      </c>
      <c r="B132" s="668" t="s">
        <v>98</v>
      </c>
      <c r="C132" s="673">
        <f>+C37*126</f>
        <v>315</v>
      </c>
      <c r="D132" s="251" t="s">
        <v>134</v>
      </c>
      <c r="E132" s="1886">
        <f>+E112*1.03</f>
        <v>484.45036093750002</v>
      </c>
      <c r="F132" s="1978">
        <f t="shared" ref="F132:F134" si="65">+$I$1</f>
        <v>0.75</v>
      </c>
      <c r="G132" s="2635">
        <f>ROUNDUP(E132/F132,-1)</f>
        <v>650</v>
      </c>
      <c r="H132" s="1665">
        <f>+G132*C132</f>
        <v>204750</v>
      </c>
    </row>
    <row r="133" spans="1:8" x14ac:dyDescent="0.25">
      <c r="A133" s="1594" t="s">
        <v>470</v>
      </c>
      <c r="B133" s="668" t="s">
        <v>2540</v>
      </c>
      <c r="C133" s="673">
        <f>+C50*92</f>
        <v>368</v>
      </c>
      <c r="D133" s="251" t="s">
        <v>134</v>
      </c>
      <c r="E133" s="1886">
        <f>+E132</f>
        <v>484.45036093750002</v>
      </c>
      <c r="F133" s="1978">
        <f t="shared" si="65"/>
        <v>0.75</v>
      </c>
      <c r="G133" s="2635">
        <f t="shared" ref="G133:G134" si="66">ROUNDUP(E133/F133,-1)</f>
        <v>650</v>
      </c>
      <c r="H133" s="1665">
        <f t="shared" ref="H133:H134" si="67">+G133*C133</f>
        <v>239200</v>
      </c>
    </row>
    <row r="134" spans="1:8" x14ac:dyDescent="0.25">
      <c r="A134" s="1594" t="s">
        <v>2547</v>
      </c>
      <c r="B134" s="668" t="s">
        <v>2541</v>
      </c>
      <c r="C134" s="673">
        <f>+C55*82</f>
        <v>574</v>
      </c>
      <c r="D134" s="251" t="s">
        <v>134</v>
      </c>
      <c r="E134" s="1886">
        <f>+E132</f>
        <v>484.45036093750002</v>
      </c>
      <c r="F134" s="1978">
        <f t="shared" si="65"/>
        <v>0.75</v>
      </c>
      <c r="G134" s="2635">
        <f t="shared" si="66"/>
        <v>650</v>
      </c>
      <c r="H134" s="1665">
        <f t="shared" si="67"/>
        <v>373100</v>
      </c>
    </row>
    <row r="135" spans="1:8" x14ac:dyDescent="0.25">
      <c r="A135" s="1594"/>
      <c r="B135" s="668"/>
      <c r="C135" s="673"/>
      <c r="D135" s="251"/>
      <c r="E135" s="1886"/>
      <c r="F135" s="1978"/>
      <c r="G135" s="1984"/>
      <c r="H135" s="1665"/>
    </row>
    <row r="136" spans="1:8" x14ac:dyDescent="0.25">
      <c r="A136" s="1594"/>
      <c r="B136" s="668"/>
      <c r="C136" s="673"/>
      <c r="D136" s="251"/>
      <c r="E136" s="1886"/>
      <c r="F136" s="1978"/>
      <c r="G136" s="1984"/>
      <c r="H136" s="1665"/>
    </row>
    <row r="137" spans="1:8" x14ac:dyDescent="0.25">
      <c r="A137" s="1594"/>
      <c r="B137" s="668"/>
      <c r="C137" s="673"/>
      <c r="D137" s="251"/>
      <c r="E137" s="1886"/>
      <c r="F137" s="1978"/>
      <c r="G137" s="1984"/>
      <c r="H137" s="1665"/>
    </row>
    <row r="138" spans="1:8" ht="14.4" thickBot="1" x14ac:dyDescent="0.3">
      <c r="A138" s="1594"/>
      <c r="B138" s="668"/>
      <c r="C138" s="673"/>
      <c r="D138" s="251"/>
      <c r="E138" s="1886"/>
      <c r="F138" s="1875"/>
      <c r="G138" s="1870"/>
      <c r="H138" s="1593"/>
    </row>
    <row r="139" spans="1:8" s="12" customFormat="1" ht="14.4" thickBot="1" x14ac:dyDescent="0.3">
      <c r="A139" s="313"/>
      <c r="B139" s="1618" t="s">
        <v>728</v>
      </c>
      <c r="C139" s="2010"/>
      <c r="D139" s="315"/>
      <c r="E139" s="1889"/>
      <c r="F139" s="1878"/>
      <c r="G139" s="1883"/>
      <c r="H139" s="317">
        <f>SUM(H3:H138)</f>
        <v>24287535</v>
      </c>
    </row>
  </sheetData>
  <pageMargins left="0.51181102362204722" right="0.23622047244094491" top="0.59055118110236227" bottom="0.47244094488188981" header="0.31496062992125984" footer="0.23622047244094491"/>
  <pageSetup scale="105" fitToHeight="0" orientation="portrait" r:id="rId1"/>
  <headerFooter alignWithMargins="0">
    <oddFooter>&amp;C&amp;P</oddFooter>
  </headerFooter>
  <rowBreaks count="4" manualBreakCount="4">
    <brk id="23" max="7" man="1"/>
    <brk id="57" max="7" man="1"/>
    <brk id="86" max="7" man="1"/>
    <brk id="116" max="7"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2060"/>
  </sheetPr>
  <dimension ref="A1:Q28"/>
  <sheetViews>
    <sheetView view="pageBreakPreview" topLeftCell="A10" zoomScale="115" zoomScaleNormal="85" zoomScaleSheetLayoutView="115" workbookViewId="0">
      <selection activeCell="E1" sqref="E1:F1048576"/>
    </sheetView>
  </sheetViews>
  <sheetFormatPr defaultColWidth="9.21875" defaultRowHeight="13.8" x14ac:dyDescent="0.25"/>
  <cols>
    <col min="1" max="1" width="9.21875" style="38" bestFit="1" customWidth="1"/>
    <col min="2" max="2" width="44.6640625" style="36" customWidth="1"/>
    <col min="3" max="3" width="8" style="39" customWidth="1"/>
    <col min="4" max="4" width="6.6640625" style="38" customWidth="1"/>
    <col min="5" max="6" width="10.44140625" style="1879" hidden="1" customWidth="1"/>
    <col min="7" max="7" width="10.44140625" style="202" customWidth="1"/>
    <col min="8" max="8" width="12.6640625" style="39" bestFit="1" customWidth="1"/>
    <col min="9" max="13" width="12.6640625" style="39" customWidth="1"/>
    <col min="14" max="17" width="11.6640625" style="39" customWidth="1"/>
    <col min="18" max="18" width="12.6640625" style="24" bestFit="1" customWidth="1"/>
    <col min="19" max="19" width="12.44140625" style="24" bestFit="1" customWidth="1"/>
    <col min="20" max="20" width="11.6640625" style="24" bestFit="1" customWidth="1"/>
    <col min="21" max="21" width="12.6640625" style="24" bestFit="1" customWidth="1"/>
    <col min="22" max="23" width="12.88671875" style="24" bestFit="1" customWidth="1"/>
    <col min="24" max="25" width="11.6640625" style="24" bestFit="1" customWidth="1"/>
    <col min="26" max="16384" width="9.21875" style="24"/>
  </cols>
  <sheetData>
    <row r="1" spans="1:17" s="31" customFormat="1" ht="14.4" thickBot="1" x14ac:dyDescent="0.3">
      <c r="A1" s="45" t="s">
        <v>0</v>
      </c>
      <c r="B1" s="46" t="s">
        <v>1</v>
      </c>
      <c r="C1" s="47" t="s">
        <v>2</v>
      </c>
      <c r="D1" s="48" t="s">
        <v>3</v>
      </c>
      <c r="E1" s="1885" t="s">
        <v>2326</v>
      </c>
      <c r="F1" s="1872" t="s">
        <v>2327</v>
      </c>
      <c r="G1" s="1880" t="s">
        <v>4</v>
      </c>
      <c r="H1" s="49" t="s">
        <v>5</v>
      </c>
      <c r="I1" s="2326">
        <f>+summary!D9</f>
        <v>0.75</v>
      </c>
      <c r="J1" s="282"/>
      <c r="K1" s="282"/>
      <c r="L1" s="282"/>
      <c r="M1" s="282"/>
      <c r="N1" s="282"/>
      <c r="O1" s="282"/>
      <c r="P1" s="282"/>
      <c r="Q1" s="282"/>
    </row>
    <row r="2" spans="1:17" s="12" customFormat="1" ht="15.6" x14ac:dyDescent="0.25">
      <c r="A2" s="1590"/>
      <c r="B2" s="320" t="s">
        <v>710</v>
      </c>
      <c r="C2" s="321"/>
      <c r="D2" s="322"/>
      <c r="E2" s="1887"/>
      <c r="F2" s="1876"/>
      <c r="G2" s="1869"/>
      <c r="H2" s="1591"/>
      <c r="I2" s="283"/>
      <c r="J2" s="283"/>
      <c r="K2" s="283"/>
      <c r="L2" s="283"/>
      <c r="M2" s="283"/>
      <c r="N2" s="283"/>
      <c r="O2" s="283"/>
      <c r="P2" s="283"/>
      <c r="Q2" s="283"/>
    </row>
    <row r="3" spans="1:17" s="12" customFormat="1" ht="15.6" x14ac:dyDescent="0.25">
      <c r="A3" s="1592" t="s">
        <v>558</v>
      </c>
      <c r="B3" s="309" t="s">
        <v>574</v>
      </c>
      <c r="C3" s="312"/>
      <c r="D3" s="251"/>
      <c r="E3" s="1886"/>
      <c r="F3" s="1886"/>
      <c r="G3" s="293"/>
      <c r="H3" s="1593"/>
      <c r="I3" s="283"/>
      <c r="J3" s="283"/>
      <c r="K3" s="283"/>
      <c r="L3" s="283"/>
      <c r="M3" s="283"/>
      <c r="N3" s="283"/>
      <c r="O3" s="283"/>
      <c r="P3" s="283"/>
      <c r="Q3" s="283"/>
    </row>
    <row r="4" spans="1:17" s="12" customFormat="1" ht="10.8" customHeight="1" x14ac:dyDescent="0.25">
      <c r="A4" s="1592"/>
      <c r="B4" s="1664"/>
      <c r="C4" s="312"/>
      <c r="D4" s="251"/>
      <c r="E4" s="1886"/>
      <c r="F4" s="1886"/>
      <c r="G4" s="2230"/>
      <c r="H4" s="1593"/>
      <c r="I4" s="283"/>
      <c r="J4" s="283"/>
      <c r="K4" s="283"/>
      <c r="L4" s="283"/>
      <c r="M4" s="283"/>
      <c r="N4" s="283"/>
      <c r="O4" s="283"/>
      <c r="P4" s="283"/>
      <c r="Q4" s="283"/>
    </row>
    <row r="5" spans="1:17" s="12" customFormat="1" ht="15.6" x14ac:dyDescent="0.25">
      <c r="A5" s="1592"/>
      <c r="B5" s="2022" t="s">
        <v>711</v>
      </c>
      <c r="C5" s="312"/>
      <c r="D5" s="251"/>
      <c r="E5" s="1886"/>
      <c r="F5" s="1886"/>
      <c r="G5" s="2230"/>
      <c r="H5" s="1593"/>
      <c r="I5" s="283"/>
      <c r="J5" s="283"/>
      <c r="K5" s="283"/>
      <c r="L5" s="283"/>
      <c r="M5" s="283"/>
      <c r="N5" s="283"/>
      <c r="O5" s="283"/>
      <c r="P5" s="283"/>
      <c r="Q5" s="283"/>
    </row>
    <row r="6" spans="1:17" s="12" customFormat="1" ht="28.8" customHeight="1" x14ac:dyDescent="0.25">
      <c r="A6" s="2327"/>
      <c r="B6" s="1909" t="s">
        <v>2462</v>
      </c>
      <c r="C6" s="308"/>
      <c r="D6" s="2276"/>
      <c r="E6" s="1888"/>
      <c r="F6" s="1888"/>
      <c r="G6" s="2231"/>
      <c r="H6" s="1665"/>
      <c r="I6" s="1890"/>
      <c r="J6" s="1890"/>
      <c r="K6" s="1890"/>
      <c r="L6" s="1890"/>
      <c r="M6" s="1890"/>
      <c r="N6" s="1890"/>
      <c r="O6" s="1890"/>
      <c r="P6" s="1890"/>
      <c r="Q6" s="1890"/>
    </row>
    <row r="7" spans="1:17" s="12" customFormat="1" ht="16.8" customHeight="1" x14ac:dyDescent="0.25">
      <c r="A7" s="1592" t="s">
        <v>2464</v>
      </c>
      <c r="B7" s="1909" t="s">
        <v>715</v>
      </c>
      <c r="C7" s="308">
        <v>184</v>
      </c>
      <c r="D7" s="2276" t="s">
        <v>1292</v>
      </c>
      <c r="E7" s="1888">
        <f>+'Rate Breakdowns'!G669</f>
        <v>5906.8083961248658</v>
      </c>
      <c r="F7" s="1888">
        <f>+$I$1</f>
        <v>0.75</v>
      </c>
      <c r="G7" s="2231">
        <f>ROUNDUP(E7/F7,-1)</f>
        <v>7880</v>
      </c>
      <c r="H7" s="1665">
        <f>+G7*C7</f>
        <v>1449920</v>
      </c>
      <c r="I7" s="1890"/>
      <c r="J7" s="1890"/>
      <c r="K7" s="1890"/>
      <c r="L7" s="1890"/>
      <c r="M7" s="1890"/>
      <c r="N7" s="1890"/>
      <c r="O7" s="1890"/>
      <c r="P7" s="1890"/>
      <c r="Q7" s="1890"/>
    </row>
    <row r="8" spans="1:17" s="12" customFormat="1" ht="16.8" customHeight="1" x14ac:dyDescent="0.25">
      <c r="A8" s="1592" t="s">
        <v>2465</v>
      </c>
      <c r="B8" s="1909" t="s">
        <v>2459</v>
      </c>
      <c r="C8" s="308">
        <v>247</v>
      </c>
      <c r="D8" s="2276" t="s">
        <v>1292</v>
      </c>
      <c r="E8" s="1888">
        <f>+E7*1.01</f>
        <v>5965.8764800861145</v>
      </c>
      <c r="F8" s="1877">
        <f>+$I$1</f>
        <v>0.75</v>
      </c>
      <c r="G8" s="2231">
        <f>ROUNDUP(E8/F8,-1)</f>
        <v>7960</v>
      </c>
      <c r="H8" s="2322">
        <f>+G8*C8</f>
        <v>1966120</v>
      </c>
      <c r="I8" s="1890"/>
      <c r="J8" s="1890"/>
      <c r="K8" s="1890"/>
      <c r="L8" s="1890"/>
      <c r="M8" s="1890"/>
      <c r="N8" s="1890"/>
      <c r="O8" s="1890"/>
      <c r="P8" s="1890"/>
      <c r="Q8" s="1890"/>
    </row>
    <row r="9" spans="1:17" s="12" customFormat="1" ht="16.8" customHeight="1" x14ac:dyDescent="0.25">
      <c r="A9" s="1592" t="s">
        <v>2466</v>
      </c>
      <c r="B9" s="1909" t="s">
        <v>2456</v>
      </c>
      <c r="C9" s="308">
        <v>247</v>
      </c>
      <c r="D9" s="2276" t="s">
        <v>1292</v>
      </c>
      <c r="E9" s="1888">
        <f>+E7*1.02</f>
        <v>6024.9445640473632</v>
      </c>
      <c r="F9" s="1877">
        <f>+$I$1</f>
        <v>0.75</v>
      </c>
      <c r="G9" s="2231">
        <f>ROUNDUP(E9/F9,-1)</f>
        <v>8040</v>
      </c>
      <c r="H9" s="2322">
        <f>+G9*C9</f>
        <v>1985880</v>
      </c>
      <c r="I9" s="1890"/>
      <c r="J9" s="1890"/>
      <c r="K9" s="1890"/>
      <c r="L9" s="1890"/>
      <c r="M9" s="1890"/>
      <c r="N9" s="1890"/>
      <c r="O9" s="1890"/>
      <c r="P9" s="1890"/>
      <c r="Q9" s="1890"/>
    </row>
    <row r="10" spans="1:17" s="12" customFormat="1" ht="16.8" customHeight="1" x14ac:dyDescent="0.25">
      <c r="A10" s="1592" t="s">
        <v>2467</v>
      </c>
      <c r="B10" s="1909" t="s">
        <v>2460</v>
      </c>
      <c r="C10" s="2330">
        <v>93</v>
      </c>
      <c r="D10" s="2276" t="s">
        <v>1292</v>
      </c>
      <c r="E10" s="2332">
        <f>+E7*1.03</f>
        <v>6084.0126480086119</v>
      </c>
      <c r="F10" s="1877">
        <f>+$I$1</f>
        <v>0.75</v>
      </c>
      <c r="G10" s="2231">
        <f>ROUNDUP(E10/F10,-1)</f>
        <v>8120</v>
      </c>
      <c r="H10" s="2322">
        <f>+G10*C10</f>
        <v>755160</v>
      </c>
      <c r="I10" s="1890"/>
      <c r="J10" s="1890"/>
      <c r="K10" s="1890"/>
      <c r="L10" s="1890"/>
      <c r="M10" s="1890"/>
      <c r="N10" s="1890"/>
      <c r="O10" s="1890"/>
      <c r="P10" s="1890"/>
      <c r="Q10" s="1890"/>
    </row>
    <row r="11" spans="1:17" s="12" customFormat="1" x14ac:dyDescent="0.25">
      <c r="A11" s="1592"/>
      <c r="B11" s="1909"/>
      <c r="C11" s="2330"/>
      <c r="D11" s="2276"/>
      <c r="E11" s="2332"/>
      <c r="F11" s="1877"/>
      <c r="G11" s="2230"/>
      <c r="H11" s="2322"/>
      <c r="I11" s="1890"/>
      <c r="J11" s="1890"/>
      <c r="K11" s="1890"/>
      <c r="L11" s="1890"/>
      <c r="M11" s="1890"/>
      <c r="N11" s="1890"/>
      <c r="O11" s="1890"/>
      <c r="P11" s="1890"/>
      <c r="Q11" s="1890"/>
    </row>
    <row r="12" spans="1:17" s="676" customFormat="1" x14ac:dyDescent="0.25">
      <c r="A12" s="1595" t="s">
        <v>559</v>
      </c>
      <c r="B12" s="2022" t="s">
        <v>2687</v>
      </c>
      <c r="C12" s="2331"/>
      <c r="D12" s="672"/>
      <c r="E12" s="2333"/>
      <c r="F12" s="1875"/>
      <c r="G12" s="674"/>
      <c r="H12" s="2323"/>
      <c r="I12" s="835"/>
      <c r="J12" s="835"/>
      <c r="K12" s="835"/>
      <c r="L12" s="835"/>
      <c r="M12" s="835"/>
      <c r="N12" s="835"/>
      <c r="O12" s="835"/>
      <c r="P12" s="835"/>
      <c r="Q12" s="835"/>
    </row>
    <row r="13" spans="1:17" s="676" customFormat="1" x14ac:dyDescent="0.25">
      <c r="A13" s="1595"/>
      <c r="B13" s="2022"/>
      <c r="C13" s="2331"/>
      <c r="D13" s="672"/>
      <c r="E13" s="2333"/>
      <c r="F13" s="1875"/>
      <c r="G13" s="674"/>
      <c r="H13" s="2323"/>
      <c r="I13" s="835"/>
      <c r="J13" s="835"/>
      <c r="K13" s="835"/>
      <c r="L13" s="835"/>
      <c r="M13" s="835"/>
      <c r="N13" s="835"/>
      <c r="O13" s="835"/>
      <c r="P13" s="835"/>
      <c r="Q13" s="835"/>
    </row>
    <row r="14" spans="1:17" s="2319" customFormat="1" x14ac:dyDescent="0.25">
      <c r="A14" s="2314"/>
      <c r="B14" s="2315" t="s">
        <v>2461</v>
      </c>
      <c r="C14" s="2331"/>
      <c r="D14" s="2316"/>
      <c r="E14" s="2334"/>
      <c r="F14" s="2321"/>
      <c r="G14" s="2317"/>
      <c r="H14" s="2324"/>
      <c r="I14" s="2318"/>
      <c r="J14" s="2318"/>
      <c r="K14" s="2318"/>
      <c r="L14" s="2318"/>
      <c r="M14" s="2318"/>
      <c r="N14" s="2318"/>
      <c r="O14" s="2318"/>
      <c r="P14" s="2318"/>
      <c r="Q14" s="2318"/>
    </row>
    <row r="15" spans="1:17" s="2319" customFormat="1" ht="26.4" x14ac:dyDescent="0.25">
      <c r="A15" s="2328"/>
      <c r="B15" s="2320" t="s">
        <v>2463</v>
      </c>
      <c r="D15" s="2001"/>
      <c r="E15" s="2681"/>
      <c r="F15" s="2321"/>
      <c r="G15" s="2001"/>
      <c r="H15" s="2329"/>
      <c r="I15" s="2318"/>
      <c r="J15" s="2318"/>
      <c r="K15" s="2318"/>
      <c r="L15" s="2318"/>
      <c r="M15" s="2318"/>
      <c r="N15" s="2318"/>
      <c r="O15" s="2318"/>
      <c r="P15" s="2318"/>
      <c r="Q15" s="2318"/>
    </row>
    <row r="16" spans="1:17" s="2319" customFormat="1" x14ac:dyDescent="0.25">
      <c r="A16" s="2314" t="s">
        <v>2468</v>
      </c>
      <c r="B16" s="2320" t="s">
        <v>715</v>
      </c>
      <c r="C16" s="2331">
        <v>64</v>
      </c>
      <c r="D16" s="2316" t="s">
        <v>1292</v>
      </c>
      <c r="E16" s="2334">
        <f>+'Rate Breakdowns'!G722</f>
        <v>2960.7649354144241</v>
      </c>
      <c r="F16" s="1877">
        <f>+$I$1</f>
        <v>0.75</v>
      </c>
      <c r="G16" s="2231">
        <f>ROUNDUP(E16/F16,-1)</f>
        <v>3950</v>
      </c>
      <c r="H16" s="2325">
        <f>+G16*C16</f>
        <v>252800</v>
      </c>
      <c r="I16" s="2318"/>
      <c r="J16" s="2318"/>
      <c r="K16" s="2318"/>
      <c r="L16" s="2318"/>
      <c r="M16" s="2318"/>
      <c r="N16" s="2318"/>
      <c r="O16" s="2318"/>
      <c r="P16" s="2318"/>
      <c r="Q16" s="2318"/>
    </row>
    <row r="17" spans="1:17" s="2319" customFormat="1" x14ac:dyDescent="0.25">
      <c r="A17" s="2314" t="s">
        <v>2469</v>
      </c>
      <c r="B17" s="2320" t="s">
        <v>2459</v>
      </c>
      <c r="C17" s="2331">
        <v>20</v>
      </c>
      <c r="D17" s="2316" t="s">
        <v>1292</v>
      </c>
      <c r="E17" s="2332">
        <f>+E16*1.01</f>
        <v>2990.3725847685682</v>
      </c>
      <c r="F17" s="1877">
        <f>+$I$1</f>
        <v>0.75</v>
      </c>
      <c r="G17" s="2231">
        <f>ROUNDUP(E17/F17,-1)</f>
        <v>3990</v>
      </c>
      <c r="H17" s="2322">
        <f>+G17*C17</f>
        <v>79800</v>
      </c>
      <c r="I17" s="2318"/>
      <c r="J17" s="2318"/>
      <c r="K17" s="2318"/>
      <c r="L17" s="2318"/>
      <c r="M17" s="2318"/>
      <c r="N17" s="2318"/>
      <c r="O17" s="2318"/>
      <c r="P17" s="2318"/>
      <c r="Q17" s="2318"/>
    </row>
    <row r="18" spans="1:17" s="2319" customFormat="1" x14ac:dyDescent="0.25">
      <c r="A18" s="2314" t="s">
        <v>2470</v>
      </c>
      <c r="B18" s="2320" t="s">
        <v>2456</v>
      </c>
      <c r="C18" s="2331">
        <v>20</v>
      </c>
      <c r="D18" s="2316" t="s">
        <v>1292</v>
      </c>
      <c r="E18" s="2332">
        <f>+E16*1.02</f>
        <v>3019.9802341227128</v>
      </c>
      <c r="F18" s="1877">
        <f>+$I$1</f>
        <v>0.75</v>
      </c>
      <c r="G18" s="2231">
        <f>ROUNDUP(E18/F18,-1)</f>
        <v>4030</v>
      </c>
      <c r="H18" s="2322">
        <f>+G18*C18</f>
        <v>80600</v>
      </c>
      <c r="I18" s="2318"/>
      <c r="J18" s="2318"/>
      <c r="K18" s="2318"/>
      <c r="L18" s="2318"/>
      <c r="M18" s="2318"/>
      <c r="N18" s="2318"/>
      <c r="O18" s="2318"/>
      <c r="P18" s="2318"/>
      <c r="Q18" s="2318"/>
    </row>
    <row r="19" spans="1:17" s="2319" customFormat="1" x14ac:dyDescent="0.25">
      <c r="A19" s="2314" t="s">
        <v>2471</v>
      </c>
      <c r="B19" s="2320" t="s">
        <v>2460</v>
      </c>
      <c r="C19" s="2331">
        <v>41</v>
      </c>
      <c r="D19" s="2316" t="s">
        <v>1292</v>
      </c>
      <c r="E19" s="2332">
        <f>+E16*1.03</f>
        <v>3049.5878834768569</v>
      </c>
      <c r="F19" s="1877">
        <f>+$I$1</f>
        <v>0.75</v>
      </c>
      <c r="G19" s="2231">
        <f>ROUNDUP(E19/F19,-1)</f>
        <v>4070</v>
      </c>
      <c r="H19" s="2322">
        <f>+G19*C19</f>
        <v>166870</v>
      </c>
      <c r="I19" s="2318"/>
      <c r="J19" s="2318"/>
      <c r="K19" s="2318"/>
      <c r="L19" s="2318"/>
      <c r="M19" s="2318"/>
      <c r="N19" s="2318"/>
      <c r="O19" s="2318"/>
      <c r="P19" s="2318"/>
      <c r="Q19" s="2318"/>
    </row>
    <row r="20" spans="1:17" s="676" customFormat="1" x14ac:dyDescent="0.25">
      <c r="A20" s="1595"/>
      <c r="B20" s="829"/>
      <c r="C20" s="2331"/>
      <c r="D20" s="672"/>
      <c r="E20" s="2333"/>
      <c r="F20" s="1875"/>
      <c r="G20" s="674"/>
      <c r="H20" s="2323"/>
      <c r="I20" s="835"/>
      <c r="J20" s="835"/>
      <c r="K20" s="835"/>
      <c r="L20" s="835"/>
      <c r="M20" s="835"/>
      <c r="N20" s="835"/>
      <c r="O20" s="835"/>
      <c r="P20" s="835"/>
      <c r="Q20" s="835"/>
    </row>
    <row r="21" spans="1:17" s="931" customFormat="1" ht="15.6" x14ac:dyDescent="0.25">
      <c r="A21" s="1613"/>
      <c r="B21" s="1664" t="s">
        <v>1205</v>
      </c>
      <c r="C21" s="1928"/>
      <c r="D21" s="672"/>
      <c r="E21" s="1886"/>
      <c r="F21" s="1875"/>
      <c r="G21" s="674"/>
      <c r="H21" s="2323"/>
      <c r="I21" s="835"/>
      <c r="J21" s="835"/>
      <c r="K21" s="835"/>
      <c r="L21" s="835"/>
      <c r="M21" s="835"/>
      <c r="N21" s="835"/>
      <c r="O21" s="835"/>
      <c r="P21" s="835"/>
      <c r="Q21" s="835"/>
    </row>
    <row r="22" spans="1:17" s="1930" customFormat="1" ht="27.6" x14ac:dyDescent="0.25">
      <c r="A22" s="1613" t="s">
        <v>211</v>
      </c>
      <c r="B22" s="1909" t="s">
        <v>782</v>
      </c>
      <c r="C22" s="1589">
        <v>41.35</v>
      </c>
      <c r="D22" s="831" t="s">
        <v>1347</v>
      </c>
      <c r="E22" s="1888">
        <f>+'Rate Breakdowns'!G644</f>
        <v>17854.461130742049</v>
      </c>
      <c r="F22" s="1877">
        <f>+$I$1</f>
        <v>0.75</v>
      </c>
      <c r="G22" s="2231">
        <f>ROUNDUP(E22/F22,-1)</f>
        <v>23810</v>
      </c>
      <c r="H22" s="2325">
        <f>+G22*C22</f>
        <v>984543.5</v>
      </c>
      <c r="I22" s="1929"/>
      <c r="J22" s="1929"/>
      <c r="K22" s="1929"/>
      <c r="L22" s="1929"/>
      <c r="M22" s="1929"/>
      <c r="N22" s="1929"/>
      <c r="O22" s="1929"/>
      <c r="P22" s="1929"/>
      <c r="Q22" s="1929"/>
    </row>
    <row r="23" spans="1:17" s="1930" customFormat="1" x14ac:dyDescent="0.25">
      <c r="A23" s="1613"/>
      <c r="B23" s="1909"/>
      <c r="C23" s="1589"/>
      <c r="D23" s="831"/>
      <c r="E23" s="1888"/>
      <c r="F23" s="1877"/>
      <c r="G23" s="2231"/>
      <c r="H23" s="2325"/>
      <c r="I23" s="1929"/>
      <c r="J23" s="1929"/>
      <c r="K23" s="1929"/>
      <c r="L23" s="1929"/>
      <c r="M23" s="1929"/>
      <c r="N23" s="1929"/>
      <c r="O23" s="1929"/>
      <c r="P23" s="1929"/>
      <c r="Q23" s="1929"/>
    </row>
    <row r="24" spans="1:17" s="1930" customFormat="1" x14ac:dyDescent="0.25">
      <c r="A24" s="1613"/>
      <c r="B24" s="1909"/>
      <c r="C24" s="1589"/>
      <c r="D24" s="831"/>
      <c r="E24" s="1888"/>
      <c r="F24" s="1877"/>
      <c r="G24" s="2231"/>
      <c r="H24" s="2325"/>
      <c r="I24" s="1929"/>
      <c r="J24" s="1929"/>
      <c r="K24" s="1929"/>
      <c r="L24" s="1929"/>
      <c r="M24" s="1929"/>
      <c r="N24" s="1929"/>
      <c r="O24" s="1929"/>
      <c r="P24" s="1929"/>
      <c r="Q24" s="1929"/>
    </row>
    <row r="25" spans="1:17" s="1891" customFormat="1" x14ac:dyDescent="0.25">
      <c r="A25" s="1592"/>
      <c r="B25" s="307"/>
      <c r="C25" s="308"/>
      <c r="D25" s="2276"/>
      <c r="E25" s="1888"/>
      <c r="F25" s="1877"/>
      <c r="G25" s="2231"/>
      <c r="H25" s="2322"/>
      <c r="I25" s="1890"/>
      <c r="J25" s="1890"/>
      <c r="K25" s="1890"/>
      <c r="L25" s="1890"/>
      <c r="M25" s="1890"/>
      <c r="N25" s="1890"/>
      <c r="O25" s="1890"/>
      <c r="P25" s="1890"/>
      <c r="Q25" s="1890"/>
    </row>
    <row r="26" spans="1:17" s="1891" customFormat="1" x14ac:dyDescent="0.25">
      <c r="A26" s="1592"/>
      <c r="B26" s="307"/>
      <c r="C26" s="308"/>
      <c r="D26" s="2276"/>
      <c r="E26" s="1888"/>
      <c r="F26" s="1888"/>
      <c r="G26" s="2231"/>
      <c r="H26" s="1665"/>
      <c r="I26" s="1890"/>
      <c r="J26" s="1890"/>
      <c r="K26" s="1890"/>
      <c r="L26" s="1890"/>
      <c r="M26" s="1890"/>
      <c r="N26" s="1890"/>
      <c r="O26" s="1890"/>
      <c r="P26" s="1890"/>
      <c r="Q26" s="1890"/>
    </row>
    <row r="27" spans="1:17" s="36" customFormat="1" ht="14.4" thickBot="1" x14ac:dyDescent="0.3">
      <c r="A27" s="1594"/>
      <c r="B27" s="303"/>
      <c r="C27" s="304"/>
      <c r="D27" s="251"/>
      <c r="E27" s="1886"/>
      <c r="F27" s="1875"/>
      <c r="G27" s="1868"/>
      <c r="H27" s="1593"/>
      <c r="I27" s="283"/>
      <c r="J27" s="283"/>
      <c r="K27" s="283"/>
      <c r="L27" s="283"/>
      <c r="M27" s="283"/>
      <c r="N27" s="283"/>
      <c r="O27" s="283"/>
      <c r="P27" s="283"/>
      <c r="Q27" s="283"/>
    </row>
    <row r="28" spans="1:17" s="12" customFormat="1" ht="28.2" customHeight="1" thickBot="1" x14ac:dyDescent="0.3">
      <c r="A28" s="313"/>
      <c r="B28" s="318" t="s">
        <v>729</v>
      </c>
      <c r="C28" s="314"/>
      <c r="D28" s="315"/>
      <c r="E28" s="1889"/>
      <c r="F28" s="1878"/>
      <c r="G28" s="1871"/>
      <c r="H28" s="317">
        <f>SUM(H2:H27)</f>
        <v>7721693.5</v>
      </c>
      <c r="I28" s="284"/>
      <c r="J28" s="284"/>
      <c r="K28" s="284"/>
      <c r="L28" s="284"/>
      <c r="M28" s="284"/>
      <c r="N28" s="284"/>
      <c r="O28" s="284"/>
      <c r="P28" s="284"/>
      <c r="Q28" s="284"/>
    </row>
  </sheetData>
  <pageMargins left="0.39370078740157483" right="0.25" top="0.74" bottom="0.23622047244094491" header="0.31496062992125984" footer="0.23622047244094491"/>
  <pageSetup scale="110" fitToHeight="0" orientation="portrait" r:id="rId1"/>
  <headerFooter alignWithMargins="0">
    <oddFooter>&amp;C&amp;P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L18"/>
  <sheetViews>
    <sheetView view="pageBreakPreview" zoomScale="115" zoomScaleNormal="85" zoomScaleSheetLayoutView="115" workbookViewId="0">
      <pane ySplit="1" topLeftCell="A2" activePane="bottomLeft" state="frozen"/>
      <selection activeCell="A15" sqref="A15:G15"/>
      <selection pane="bottomLeft" activeCell="B2" sqref="B2"/>
    </sheetView>
  </sheetViews>
  <sheetFormatPr defaultColWidth="9.21875" defaultRowHeight="13.8" x14ac:dyDescent="0.25"/>
  <cols>
    <col min="1" max="1" width="5.33203125" style="38" customWidth="1"/>
    <col min="2" max="2" width="49.44140625" style="36" customWidth="1"/>
    <col min="3" max="3" width="8.5546875" style="39" customWidth="1"/>
    <col min="4" max="4" width="8.21875" style="38" customWidth="1"/>
    <col min="5" max="6" width="10.44140625" style="202" hidden="1" customWidth="1"/>
    <col min="7" max="7" width="10.44140625" style="202" customWidth="1"/>
    <col min="8" max="8" width="11.88671875" style="39" bestFit="1" customWidth="1"/>
    <col min="9" max="9" width="9.21875" style="24"/>
    <col min="10" max="10" width="12.44140625" style="24" bestFit="1" customWidth="1"/>
    <col min="11" max="11" width="10" style="24" bestFit="1" customWidth="1"/>
    <col min="12" max="12" width="11" style="24" bestFit="1" customWidth="1"/>
    <col min="13" max="14" width="12.88671875" style="24" bestFit="1" customWidth="1"/>
    <col min="15" max="15" width="10.33203125" style="24" bestFit="1" customWidth="1"/>
    <col min="16" max="16384" width="9.21875" style="24"/>
  </cols>
  <sheetData>
    <row r="1" spans="1:12" s="31" customFormat="1" ht="14.4" thickBot="1" x14ac:dyDescent="0.3">
      <c r="A1" s="45" t="s">
        <v>0</v>
      </c>
      <c r="B1" s="46" t="s">
        <v>1</v>
      </c>
      <c r="C1" s="47" t="s">
        <v>2</v>
      </c>
      <c r="D1" s="48" t="s">
        <v>3</v>
      </c>
      <c r="E1" s="1872" t="s">
        <v>2326</v>
      </c>
      <c r="F1" s="1872" t="s">
        <v>2327</v>
      </c>
      <c r="G1" s="188" t="s">
        <v>4</v>
      </c>
      <c r="H1" s="49" t="s">
        <v>5</v>
      </c>
      <c r="I1" s="31">
        <f>+summary!D10</f>
        <v>0.75</v>
      </c>
    </row>
    <row r="2" spans="1:12" s="12" customFormat="1" ht="28.05" customHeight="1" x14ac:dyDescent="0.25">
      <c r="A2" s="1590"/>
      <c r="B2" s="320" t="s">
        <v>730</v>
      </c>
      <c r="C2" s="321"/>
      <c r="D2" s="322"/>
      <c r="E2" s="1887"/>
      <c r="F2" s="1876"/>
      <c r="G2" s="1869"/>
      <c r="H2" s="1591"/>
    </row>
    <row r="3" spans="1:12" s="12" customFormat="1" ht="15.6" x14ac:dyDescent="0.25">
      <c r="A3" s="1592"/>
      <c r="B3" s="311"/>
      <c r="C3" s="312"/>
      <c r="D3" s="251"/>
      <c r="E3" s="1886"/>
      <c r="F3" s="1875"/>
      <c r="G3" s="1868"/>
      <c r="H3" s="1593"/>
    </row>
    <row r="4" spans="1:12" ht="27.6" x14ac:dyDescent="0.25">
      <c r="A4" s="1594" t="s">
        <v>214</v>
      </c>
      <c r="B4" s="303" t="s">
        <v>805</v>
      </c>
      <c r="C4" s="308">
        <v>65</v>
      </c>
      <c r="D4" s="1923" t="s">
        <v>1292</v>
      </c>
      <c r="E4" s="1888">
        <f>+'Rate Breakdowns'!G159</f>
        <v>670.72120559741666</v>
      </c>
      <c r="F4" s="1877">
        <f>+$I$1</f>
        <v>0.75</v>
      </c>
      <c r="G4" s="1881">
        <f>ROUNDUP(E4/F4,-1)</f>
        <v>900</v>
      </c>
      <c r="H4" s="1665">
        <f>+G4*C4</f>
        <v>58500</v>
      </c>
    </row>
    <row r="5" spans="1:12" x14ac:dyDescent="0.25">
      <c r="A5" s="1594"/>
      <c r="B5" s="303"/>
      <c r="C5" s="304"/>
      <c r="D5" s="251"/>
      <c r="E5" s="1886"/>
      <c r="F5" s="1877"/>
      <c r="G5" s="1868"/>
      <c r="H5" s="1593"/>
    </row>
    <row r="6" spans="1:12" s="12" customFormat="1" ht="27.6" x14ac:dyDescent="0.25">
      <c r="A6" s="1592" t="s">
        <v>216</v>
      </c>
      <c r="B6" s="307" t="s">
        <v>806</v>
      </c>
      <c r="C6" s="308">
        <v>180</v>
      </c>
      <c r="D6" s="1923" t="s">
        <v>1292</v>
      </c>
      <c r="E6" s="1888">
        <f>+'Rate Breakdowns'!G137</f>
        <v>228.74058127018301</v>
      </c>
      <c r="F6" s="1877">
        <f>+$I$1</f>
        <v>0.75</v>
      </c>
      <c r="G6" s="1881">
        <f>ROUNDUP(E6/F6,-1)</f>
        <v>310</v>
      </c>
      <c r="H6" s="1665">
        <f>+G6*C6</f>
        <v>55800</v>
      </c>
      <c r="K6" s="2006"/>
      <c r="L6" s="2007"/>
    </row>
    <row r="7" spans="1:12" s="676" customFormat="1" x14ac:dyDescent="0.25">
      <c r="A7" s="1595"/>
      <c r="B7" s="829"/>
      <c r="C7" s="673"/>
      <c r="D7" s="672"/>
      <c r="E7" s="674"/>
      <c r="F7" s="1882"/>
      <c r="G7" s="1870"/>
      <c r="H7" s="1596"/>
      <c r="K7" s="2008"/>
      <c r="L7" s="2009"/>
    </row>
    <row r="8" spans="1:12" s="676" customFormat="1" ht="96.6" x14ac:dyDescent="0.25">
      <c r="A8" s="1595" t="s">
        <v>218</v>
      </c>
      <c r="B8" s="829" t="s">
        <v>807</v>
      </c>
      <c r="C8" s="673"/>
      <c r="D8" s="672"/>
      <c r="E8" s="674"/>
      <c r="F8" s="1882"/>
      <c r="G8" s="1870"/>
      <c r="H8" s="1596"/>
      <c r="K8" s="2008"/>
      <c r="L8" s="2009"/>
    </row>
    <row r="9" spans="1:12" s="676" customFormat="1" x14ac:dyDescent="0.25">
      <c r="A9" s="1595"/>
      <c r="B9" s="829" t="s">
        <v>1858</v>
      </c>
      <c r="C9" s="673">
        <v>35</v>
      </c>
      <c r="D9" s="672" t="s">
        <v>1292</v>
      </c>
      <c r="E9" s="674">
        <f>+'Rate Breakdowns'!G1059</f>
        <v>1219.8190258342304</v>
      </c>
      <c r="F9" s="1882">
        <f>+$I$1</f>
        <v>0.75</v>
      </c>
      <c r="G9" s="1881">
        <f>ROUNDUP(E9/F9,-1)</f>
        <v>1630</v>
      </c>
      <c r="H9" s="1925">
        <f>+G9*C9</f>
        <v>57050</v>
      </c>
    </row>
    <row r="10" spans="1:12" s="676" customFormat="1" ht="14.4" thickBot="1" x14ac:dyDescent="0.3">
      <c r="A10" s="1595"/>
      <c r="B10" s="829"/>
      <c r="C10" s="673"/>
      <c r="D10" s="672"/>
      <c r="E10" s="674"/>
      <c r="F10" s="1870"/>
      <c r="G10" s="1870"/>
      <c r="H10" s="1596"/>
    </row>
    <row r="11" spans="1:12" s="676" customFormat="1" ht="14.4" thickBot="1" x14ac:dyDescent="0.3">
      <c r="A11" s="2246"/>
      <c r="B11" s="2247" t="s">
        <v>731</v>
      </c>
      <c r="C11" s="2010"/>
      <c r="D11" s="2248"/>
      <c r="E11" s="2249"/>
      <c r="F11" s="1883"/>
      <c r="G11" s="1883"/>
      <c r="H11" s="2250">
        <f>SUM(H2:H10)</f>
        <v>171350</v>
      </c>
    </row>
    <row r="12" spans="1:12" x14ac:dyDescent="0.25">
      <c r="B12" s="2229"/>
    </row>
    <row r="13" spans="1:12" x14ac:dyDescent="0.25">
      <c r="B13" s="2229"/>
    </row>
    <row r="14" spans="1:12" x14ac:dyDescent="0.25">
      <c r="B14" s="2229"/>
    </row>
    <row r="17" spans="2:2" x14ac:dyDescent="0.25">
      <c r="B17" s="2229"/>
    </row>
    <row r="18" spans="2:2" x14ac:dyDescent="0.25">
      <c r="B18" s="2229"/>
    </row>
  </sheetData>
  <pageMargins left="0.49" right="0.35433070866141736" top="0.73" bottom="0.23622047244094491" header="0.31496062992125984" footer="0.23622047244094491"/>
  <pageSetup scale="105" fitToHeight="0" orientation="portrait" r:id="rId1"/>
  <headerFooter alignWithMargins="0">
    <oddFooter>&amp;C&amp;P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2060"/>
  </sheetPr>
  <dimension ref="A1:I65"/>
  <sheetViews>
    <sheetView view="pageBreakPreview" topLeftCell="A40" zoomScaleNormal="85" zoomScaleSheetLayoutView="100" workbookViewId="0">
      <selection activeCell="B2" sqref="B2"/>
    </sheetView>
  </sheetViews>
  <sheetFormatPr defaultColWidth="9.21875" defaultRowHeight="13.8" x14ac:dyDescent="0.25"/>
  <cols>
    <col min="1" max="1" width="7.109375" style="2251" customWidth="1"/>
    <col min="2" max="2" width="49.44140625" style="2252" customWidth="1"/>
    <col min="3" max="3" width="8.88671875" style="835" customWidth="1"/>
    <col min="4" max="4" width="5.109375" style="2251" customWidth="1"/>
    <col min="5" max="6" width="9.21875" style="1895" hidden="1" customWidth="1"/>
    <col min="7" max="7" width="10.44140625" style="1884" customWidth="1"/>
    <col min="8" max="8" width="12.6640625" style="835" customWidth="1"/>
    <col min="9" max="9" width="9.21875" style="676"/>
    <col min="10" max="10" width="12.44140625" style="676" bestFit="1" customWidth="1"/>
    <col min="11" max="11" width="10" style="676" bestFit="1" customWidth="1"/>
    <col min="12" max="12" width="11" style="676" bestFit="1" customWidth="1"/>
    <col min="13" max="14" width="12.88671875" style="676" bestFit="1" customWidth="1"/>
    <col min="15" max="15" width="10.33203125" style="676" bestFit="1" customWidth="1"/>
    <col min="16" max="16384" width="9.21875" style="676"/>
  </cols>
  <sheetData>
    <row r="1" spans="1:9" s="931" customFormat="1" ht="14.4" thickBot="1" x14ac:dyDescent="0.3">
      <c r="A1" s="2232" t="s">
        <v>0</v>
      </c>
      <c r="B1" s="2233" t="s">
        <v>1</v>
      </c>
      <c r="C1" s="2234" t="s">
        <v>2</v>
      </c>
      <c r="D1" s="1880" t="s">
        <v>3</v>
      </c>
      <c r="E1" s="1898" t="s">
        <v>2326</v>
      </c>
      <c r="F1" s="1898" t="s">
        <v>2327</v>
      </c>
      <c r="G1" s="2235" t="s">
        <v>4</v>
      </c>
      <c r="H1" s="2236" t="s">
        <v>5</v>
      </c>
      <c r="I1" s="931">
        <v>0.75</v>
      </c>
    </row>
    <row r="2" spans="1:9" s="931" customFormat="1" ht="15.6" x14ac:dyDescent="0.25">
      <c r="A2" s="2237"/>
      <c r="B2" s="2238" t="s">
        <v>733</v>
      </c>
      <c r="C2" s="2239"/>
      <c r="D2" s="2240"/>
      <c r="E2" s="2312"/>
      <c r="F2" s="2312"/>
      <c r="G2" s="2241"/>
      <c r="H2" s="2242"/>
    </row>
    <row r="3" spans="1:9" s="931" customFormat="1" ht="15.6" x14ac:dyDescent="0.25">
      <c r="A3" s="1613"/>
      <c r="B3" s="1664" t="s">
        <v>175</v>
      </c>
      <c r="C3" s="1928"/>
      <c r="D3" s="672"/>
      <c r="E3" s="1892"/>
      <c r="F3" s="1892"/>
      <c r="G3" s="674"/>
      <c r="H3" s="1596"/>
    </row>
    <row r="4" spans="1:9" s="931" customFormat="1" ht="46.8" x14ac:dyDescent="0.25">
      <c r="A4" s="1613"/>
      <c r="B4" s="930" t="s">
        <v>717</v>
      </c>
      <c r="C4" s="1928"/>
      <c r="D4" s="672"/>
      <c r="E4" s="1892"/>
      <c r="F4" s="1892"/>
      <c r="G4" s="674"/>
      <c r="H4" s="1596"/>
    </row>
    <row r="5" spans="1:9" s="931" customFormat="1" ht="15.6" x14ac:dyDescent="0.25">
      <c r="A5" s="1613"/>
      <c r="B5" s="2243"/>
      <c r="C5" s="1928"/>
      <c r="D5" s="672"/>
      <c r="E5" s="1892"/>
      <c r="F5" s="1892"/>
      <c r="G5" s="674"/>
      <c r="H5" s="1596"/>
    </row>
    <row r="6" spans="1:9" s="931" customFormat="1" ht="46.8" x14ac:dyDescent="0.25">
      <c r="A6" s="1613"/>
      <c r="B6" s="953" t="s">
        <v>718</v>
      </c>
      <c r="C6" s="1928"/>
      <c r="D6" s="672"/>
      <c r="E6" s="1892"/>
      <c r="F6" s="1892"/>
      <c r="G6" s="674"/>
      <c r="H6" s="1596"/>
    </row>
    <row r="7" spans="1:9" s="931" customFormat="1" ht="15.6" x14ac:dyDescent="0.25">
      <c r="A7" s="1613"/>
      <c r="B7" s="2244"/>
      <c r="C7" s="1928"/>
      <c r="D7" s="672"/>
      <c r="E7" s="1892"/>
      <c r="F7" s="1892"/>
      <c r="G7" s="674"/>
      <c r="H7" s="1596"/>
    </row>
    <row r="8" spans="1:9" s="931" customFormat="1" ht="15.6" x14ac:dyDescent="0.25">
      <c r="A8" s="1613"/>
      <c r="B8" s="2335" t="s">
        <v>719</v>
      </c>
      <c r="C8" s="1928"/>
      <c r="D8" s="672"/>
      <c r="E8" s="1892"/>
      <c r="F8" s="1892"/>
      <c r="G8" s="674"/>
      <c r="H8" s="1596"/>
    </row>
    <row r="9" spans="1:9" s="931" customFormat="1" ht="54.6" customHeight="1" x14ac:dyDescent="0.25">
      <c r="A9" s="1613" t="s">
        <v>221</v>
      </c>
      <c r="B9" s="1909" t="s">
        <v>1206</v>
      </c>
      <c r="C9" s="1589">
        <f>89*0.45</f>
        <v>40.050000000000004</v>
      </c>
      <c r="D9" s="831" t="s">
        <v>1394</v>
      </c>
      <c r="E9" s="1912">
        <f>+'Rate Breakdowns'!G1024</f>
        <v>2738.1963132400433</v>
      </c>
      <c r="F9" s="1877">
        <f>+$I$1</f>
        <v>0.75</v>
      </c>
      <c r="G9" s="2231">
        <f>ROUNDUP(E9/F9,-1)</f>
        <v>3660</v>
      </c>
      <c r="H9" s="1925">
        <f>+G9*C9</f>
        <v>146583.00000000003</v>
      </c>
    </row>
    <row r="10" spans="1:9" x14ac:dyDescent="0.25">
      <c r="A10" s="1595"/>
      <c r="B10" s="829"/>
      <c r="C10" s="673"/>
      <c r="D10" s="672"/>
      <c r="E10" s="1892"/>
      <c r="F10" s="1892"/>
      <c r="G10" s="674"/>
      <c r="H10" s="1596"/>
    </row>
    <row r="11" spans="1:9" ht="55.2" x14ac:dyDescent="0.25">
      <c r="A11" s="1595" t="s">
        <v>222</v>
      </c>
      <c r="B11" s="903" t="s">
        <v>1207</v>
      </c>
      <c r="C11" s="673"/>
      <c r="D11" s="672"/>
      <c r="E11" s="1892"/>
      <c r="F11" s="1892"/>
      <c r="G11" s="674"/>
      <c r="H11" s="1596"/>
    </row>
    <row r="12" spans="1:9" x14ac:dyDescent="0.25">
      <c r="A12" s="1595" t="s">
        <v>505</v>
      </c>
      <c r="B12" s="829" t="s">
        <v>61</v>
      </c>
      <c r="C12" s="673">
        <v>182</v>
      </c>
      <c r="D12" s="672" t="s">
        <v>1394</v>
      </c>
      <c r="E12" s="1892">
        <f>+'Rate Breakdowns'!G972</f>
        <v>1532.73479547901</v>
      </c>
      <c r="F12" s="1877">
        <f>+$I$1</f>
        <v>0.75</v>
      </c>
      <c r="G12" s="2231">
        <f>ROUNDUP(E12/F12,-1)</f>
        <v>2050</v>
      </c>
      <c r="H12" s="1925">
        <f>+G12*C12</f>
        <v>373100</v>
      </c>
    </row>
    <row r="13" spans="1:9" x14ac:dyDescent="0.25">
      <c r="A13" s="1595" t="s">
        <v>506</v>
      </c>
      <c r="B13" s="829" t="s">
        <v>62</v>
      </c>
      <c r="C13" s="673">
        <v>207</v>
      </c>
      <c r="D13" s="672" t="s">
        <v>1394</v>
      </c>
      <c r="E13" s="1892">
        <f>+E12*1.02</f>
        <v>1563.3894913885902</v>
      </c>
      <c r="F13" s="1877">
        <f>+$I$1</f>
        <v>0.75</v>
      </c>
      <c r="G13" s="2231">
        <f>ROUNDUP(E13/F13,-1)</f>
        <v>2090</v>
      </c>
      <c r="H13" s="1925">
        <f>+G13*C13</f>
        <v>432630</v>
      </c>
    </row>
    <row r="14" spans="1:9" x14ac:dyDescent="0.25">
      <c r="A14" s="1595" t="s">
        <v>507</v>
      </c>
      <c r="B14" s="829" t="s">
        <v>1270</v>
      </c>
      <c r="C14" s="673">
        <v>207</v>
      </c>
      <c r="D14" s="672" t="s">
        <v>1394</v>
      </c>
      <c r="E14" s="1892">
        <f>+E12*1.04</f>
        <v>1594.0441872981705</v>
      </c>
      <c r="F14" s="1877">
        <f>+$I$1</f>
        <v>0.75</v>
      </c>
      <c r="G14" s="2231">
        <f>ROUNDUP(E14/F14,-1)</f>
        <v>2130</v>
      </c>
      <c r="H14" s="1925">
        <f>+G14*C14</f>
        <v>440910</v>
      </c>
    </row>
    <row r="15" spans="1:9" x14ac:dyDescent="0.25">
      <c r="A15" s="1595" t="s">
        <v>508</v>
      </c>
      <c r="B15" s="829" t="s">
        <v>2472</v>
      </c>
      <c r="C15" s="673">
        <v>111</v>
      </c>
      <c r="D15" s="672" t="s">
        <v>1394</v>
      </c>
      <c r="E15" s="1892">
        <f>+E12*1.06</f>
        <v>1624.6988832077507</v>
      </c>
      <c r="F15" s="1877">
        <f>+$I$1</f>
        <v>0.75</v>
      </c>
      <c r="G15" s="2231">
        <f>ROUNDUP(E15/F15,-1)</f>
        <v>2170</v>
      </c>
      <c r="H15" s="1925">
        <f>+G15*C15</f>
        <v>240870</v>
      </c>
    </row>
    <row r="16" spans="1:9" x14ac:dyDescent="0.25">
      <c r="A16" s="1595"/>
      <c r="B16" s="2245"/>
      <c r="C16" s="673"/>
      <c r="D16" s="672"/>
      <c r="E16" s="1892"/>
      <c r="F16" s="1892"/>
      <c r="G16" s="674"/>
      <c r="H16" s="1596"/>
    </row>
    <row r="17" spans="1:8" x14ac:dyDescent="0.25">
      <c r="A17" s="1595" t="s">
        <v>223</v>
      </c>
      <c r="B17" s="2336" t="s">
        <v>721</v>
      </c>
      <c r="C17" s="673"/>
      <c r="D17" s="672"/>
      <c r="E17" s="1892"/>
      <c r="F17" s="1892"/>
      <c r="G17" s="674"/>
      <c r="H17" s="1596"/>
    </row>
    <row r="18" spans="1:8" s="931" customFormat="1" ht="55.2" x14ac:dyDescent="0.25">
      <c r="A18" s="1613"/>
      <c r="B18" s="2287" t="s">
        <v>2473</v>
      </c>
      <c r="C18" s="2337"/>
      <c r="D18" s="2337"/>
      <c r="E18" s="2843"/>
      <c r="F18" s="2843"/>
      <c r="G18" s="2337"/>
      <c r="H18" s="2338"/>
    </row>
    <row r="19" spans="1:8" x14ac:dyDescent="0.25">
      <c r="A19" s="1595" t="s">
        <v>2474</v>
      </c>
      <c r="B19" s="829" t="s">
        <v>61</v>
      </c>
      <c r="C19" s="1589">
        <v>126</v>
      </c>
      <c r="D19" s="831" t="s">
        <v>1293</v>
      </c>
      <c r="E19" s="1912">
        <f>190*3.28</f>
        <v>623.19999999999993</v>
      </c>
      <c r="F19" s="1888">
        <f>+$I$1</f>
        <v>0.75</v>
      </c>
      <c r="G19" s="2231">
        <f>ROUNDUP(E19/F19,-1)</f>
        <v>840</v>
      </c>
      <c r="H19" s="1925">
        <f>+G19*C19</f>
        <v>105840</v>
      </c>
    </row>
    <row r="20" spans="1:8" s="931" customFormat="1" ht="15.6" customHeight="1" x14ac:dyDescent="0.25">
      <c r="A20" s="1595" t="s">
        <v>2475</v>
      </c>
      <c r="B20" s="1971" t="s">
        <v>62</v>
      </c>
      <c r="C20" s="1589">
        <v>142</v>
      </c>
      <c r="D20" s="831" t="s">
        <v>1293</v>
      </c>
      <c r="E20" s="1912">
        <f>190*3.28</f>
        <v>623.19999999999993</v>
      </c>
      <c r="F20" s="1888">
        <f t="shared" ref="F20:F22" si="0">+$I$1</f>
        <v>0.75</v>
      </c>
      <c r="G20" s="2231">
        <f t="shared" ref="G20:G22" si="1">ROUNDUP(E20/F20,-1)</f>
        <v>840</v>
      </c>
      <c r="H20" s="1925">
        <f t="shared" ref="H20:H22" si="2">+G20*C20</f>
        <v>119280</v>
      </c>
    </row>
    <row r="21" spans="1:8" s="931" customFormat="1" x14ac:dyDescent="0.25">
      <c r="A21" s="1595" t="s">
        <v>2476</v>
      </c>
      <c r="B21" s="1971" t="s">
        <v>1270</v>
      </c>
      <c r="C21" s="1589">
        <v>142</v>
      </c>
      <c r="D21" s="831" t="s">
        <v>1293</v>
      </c>
      <c r="E21" s="1912">
        <f t="shared" ref="E21:E22" si="3">190*3.28</f>
        <v>623.19999999999993</v>
      </c>
      <c r="F21" s="1888">
        <f t="shared" si="0"/>
        <v>0.75</v>
      </c>
      <c r="G21" s="2231">
        <f t="shared" si="1"/>
        <v>840</v>
      </c>
      <c r="H21" s="1925">
        <f t="shared" si="2"/>
        <v>119280</v>
      </c>
    </row>
    <row r="22" spans="1:8" s="931" customFormat="1" x14ac:dyDescent="0.25">
      <c r="A22" s="1595" t="s">
        <v>2477</v>
      </c>
      <c r="B22" s="1971" t="s">
        <v>2472</v>
      </c>
      <c r="C22" s="1589">
        <v>64</v>
      </c>
      <c r="D22" s="831" t="s">
        <v>1293</v>
      </c>
      <c r="E22" s="1912">
        <f t="shared" si="3"/>
        <v>623.19999999999993</v>
      </c>
      <c r="F22" s="1877">
        <f t="shared" si="0"/>
        <v>0.75</v>
      </c>
      <c r="G22" s="2231">
        <f t="shared" si="1"/>
        <v>840</v>
      </c>
      <c r="H22" s="1925">
        <f t="shared" si="2"/>
        <v>53760</v>
      </c>
    </row>
    <row r="23" spans="1:8" x14ac:dyDescent="0.25">
      <c r="A23" s="1595"/>
      <c r="B23" s="903"/>
      <c r="C23" s="673"/>
      <c r="D23" s="672"/>
      <c r="E23" s="1892"/>
      <c r="F23" s="1892"/>
      <c r="G23" s="674"/>
      <c r="H23" s="1596"/>
    </row>
    <row r="24" spans="1:8" x14ac:dyDescent="0.25">
      <c r="A24" s="1595"/>
      <c r="B24" s="2310" t="s">
        <v>720</v>
      </c>
      <c r="C24" s="673"/>
      <c r="D24" s="672"/>
      <c r="E24" s="1892"/>
      <c r="F24" s="1892"/>
      <c r="G24" s="674"/>
      <c r="H24" s="1596"/>
    </row>
    <row r="25" spans="1:8" s="931" customFormat="1" ht="45.6" customHeight="1" x14ac:dyDescent="0.25">
      <c r="A25" s="1613" t="s">
        <v>224</v>
      </c>
      <c r="B25" s="1909" t="s">
        <v>1395</v>
      </c>
      <c r="C25" s="1589"/>
      <c r="D25" s="831"/>
      <c r="E25" s="1912"/>
      <c r="F25" s="1912"/>
      <c r="G25" s="2253"/>
      <c r="H25" s="1925"/>
    </row>
    <row r="26" spans="1:8" s="931" customFormat="1" x14ac:dyDescent="0.25">
      <c r="A26" s="1613" t="s">
        <v>510</v>
      </c>
      <c r="B26" s="1909" t="s">
        <v>61</v>
      </c>
      <c r="C26" s="1589">
        <v>329</v>
      </c>
      <c r="D26" s="831" t="s">
        <v>1394</v>
      </c>
      <c r="E26" s="1912">
        <f>+'Rate Breakdowns'!G946</f>
        <v>1642.7173035522069</v>
      </c>
      <c r="F26" s="1877">
        <f>+$I$1</f>
        <v>0.75</v>
      </c>
      <c r="G26" s="2231">
        <f>ROUNDUP(E26/F26,-1)</f>
        <v>2200</v>
      </c>
      <c r="H26" s="1925">
        <f>+G26*C26</f>
        <v>723800</v>
      </c>
    </row>
    <row r="27" spans="1:8" s="931" customFormat="1" x14ac:dyDescent="0.25">
      <c r="A27" s="1613" t="s">
        <v>512</v>
      </c>
      <c r="B27" s="1909" t="s">
        <v>62</v>
      </c>
      <c r="C27" s="1589">
        <v>451</v>
      </c>
      <c r="D27" s="831" t="s">
        <v>1394</v>
      </c>
      <c r="E27" s="1912">
        <f>+E26*1.01</f>
        <v>1659.1444765877291</v>
      </c>
      <c r="F27" s="1877">
        <f>+$I$1</f>
        <v>0.75</v>
      </c>
      <c r="G27" s="2231">
        <f>ROUNDUP(E27/F27,-1)</f>
        <v>2220</v>
      </c>
      <c r="H27" s="1925">
        <f>+G27*C27</f>
        <v>1001220</v>
      </c>
    </row>
    <row r="28" spans="1:8" s="931" customFormat="1" x14ac:dyDescent="0.25">
      <c r="A28" s="1613" t="s">
        <v>513</v>
      </c>
      <c r="B28" s="1909" t="s">
        <v>1270</v>
      </c>
      <c r="C28" s="1589">
        <v>451</v>
      </c>
      <c r="D28" s="831" t="s">
        <v>1394</v>
      </c>
      <c r="E28" s="1912">
        <f>+E26*1.02</f>
        <v>1675.571649623251</v>
      </c>
      <c r="F28" s="1877">
        <f>+$I$1</f>
        <v>0.75</v>
      </c>
      <c r="G28" s="2231">
        <f>ROUNDUP(E28/F28,-1)</f>
        <v>2240</v>
      </c>
      <c r="H28" s="1925">
        <f>+G28*C28</f>
        <v>1010240</v>
      </c>
    </row>
    <row r="29" spans="1:8" s="931" customFormat="1" x14ac:dyDescent="0.25">
      <c r="A29" s="1613" t="s">
        <v>511</v>
      </c>
      <c r="B29" s="1909" t="s">
        <v>2472</v>
      </c>
      <c r="C29" s="1589">
        <v>187</v>
      </c>
      <c r="D29" s="831" t="s">
        <v>1394</v>
      </c>
      <c r="E29" s="1912">
        <f>+E26*1.03</f>
        <v>1691.9988226587732</v>
      </c>
      <c r="F29" s="1877">
        <f>+$I$1</f>
        <v>0.75</v>
      </c>
      <c r="G29" s="2231">
        <f>ROUNDUP(E29/F29,-1)</f>
        <v>2260</v>
      </c>
      <c r="H29" s="1925">
        <f>+G29*C29</f>
        <v>422620</v>
      </c>
    </row>
    <row r="30" spans="1:8" s="931" customFormat="1" x14ac:dyDescent="0.25">
      <c r="A30" s="1613"/>
      <c r="B30" s="1909"/>
      <c r="C30" s="1589"/>
      <c r="D30" s="831"/>
      <c r="E30" s="1912"/>
      <c r="F30" s="1877"/>
      <c r="G30" s="2231"/>
      <c r="H30" s="1925"/>
    </row>
    <row r="31" spans="1:8" s="931" customFormat="1" x14ac:dyDescent="0.25">
      <c r="A31" s="1613"/>
      <c r="B31" s="1909"/>
      <c r="C31" s="1589"/>
      <c r="D31" s="831"/>
      <c r="E31" s="1912"/>
      <c r="F31" s="1912"/>
      <c r="G31" s="2253"/>
      <c r="H31" s="1925"/>
    </row>
    <row r="32" spans="1:8" x14ac:dyDescent="0.25">
      <c r="A32" s="1595" t="s">
        <v>225</v>
      </c>
      <c r="B32" s="2310" t="s">
        <v>722</v>
      </c>
      <c r="C32" s="673"/>
      <c r="D32" s="672"/>
      <c r="E32" s="1892"/>
      <c r="F32" s="1892"/>
      <c r="G32" s="674"/>
      <c r="H32" s="1596"/>
    </row>
    <row r="33" spans="1:8" s="931" customFormat="1" ht="58.2" customHeight="1" x14ac:dyDescent="0.25">
      <c r="A33" s="1613"/>
      <c r="B33" s="2287" t="s">
        <v>2482</v>
      </c>
      <c r="C33" s="673"/>
      <c r="D33" s="672"/>
      <c r="E33" s="1892"/>
      <c r="F33" s="1892"/>
      <c r="G33" s="674"/>
      <c r="H33" s="1596"/>
    </row>
    <row r="34" spans="1:8" s="931" customFormat="1" ht="17.399999999999999" customHeight="1" x14ac:dyDescent="0.25">
      <c r="A34" s="1613" t="s">
        <v>2478</v>
      </c>
      <c r="B34" s="1909" t="s">
        <v>61</v>
      </c>
      <c r="C34" s="1589">
        <v>156</v>
      </c>
      <c r="D34" s="831" t="str">
        <f>D20</f>
        <v>L.m</v>
      </c>
      <c r="E34" s="1912">
        <f>170*3.28</f>
        <v>557.6</v>
      </c>
      <c r="F34" s="1877">
        <f>+$I$1</f>
        <v>0.75</v>
      </c>
      <c r="G34" s="2231">
        <f>ROUNDUP(E34/F34,-1)</f>
        <v>750</v>
      </c>
      <c r="H34" s="1925">
        <f>+G34*C34</f>
        <v>117000</v>
      </c>
    </row>
    <row r="35" spans="1:8" s="931" customFormat="1" ht="17.399999999999999" customHeight="1" x14ac:dyDescent="0.25">
      <c r="A35" s="1613" t="s">
        <v>2479</v>
      </c>
      <c r="B35" s="1909" t="s">
        <v>62</v>
      </c>
      <c r="C35" s="1589">
        <v>190</v>
      </c>
      <c r="D35" s="831" t="str">
        <f t="shared" ref="D35:D37" si="4">D21</f>
        <v>L.m</v>
      </c>
      <c r="E35" s="1912">
        <f>170*3.28</f>
        <v>557.6</v>
      </c>
      <c r="F35" s="1877">
        <f t="shared" ref="F35:F37" si="5">+$I$1</f>
        <v>0.75</v>
      </c>
      <c r="G35" s="2231">
        <f t="shared" ref="G35:G37" si="6">ROUNDUP(E35/F35,-1)</f>
        <v>750</v>
      </c>
      <c r="H35" s="1925">
        <f t="shared" ref="H35:H37" si="7">+G35*C35</f>
        <v>142500</v>
      </c>
    </row>
    <row r="36" spans="1:8" s="931" customFormat="1" ht="17.399999999999999" customHeight="1" x14ac:dyDescent="0.25">
      <c r="A36" s="1613" t="s">
        <v>2480</v>
      </c>
      <c r="B36" s="1909" t="s">
        <v>1270</v>
      </c>
      <c r="C36" s="1589">
        <v>190</v>
      </c>
      <c r="D36" s="831" t="str">
        <f t="shared" si="4"/>
        <v>L.m</v>
      </c>
      <c r="E36" s="1912">
        <f t="shared" ref="E36:E37" si="8">170*3.28</f>
        <v>557.6</v>
      </c>
      <c r="F36" s="1877">
        <f t="shared" si="5"/>
        <v>0.75</v>
      </c>
      <c r="G36" s="2231">
        <f t="shared" si="6"/>
        <v>750</v>
      </c>
      <c r="H36" s="1925">
        <f t="shared" si="7"/>
        <v>142500</v>
      </c>
    </row>
    <row r="37" spans="1:8" s="931" customFormat="1" ht="17.399999999999999" customHeight="1" x14ac:dyDescent="0.25">
      <c r="A37" s="1613" t="s">
        <v>2481</v>
      </c>
      <c r="B37" s="1909" t="s">
        <v>2472</v>
      </c>
      <c r="C37" s="1589">
        <v>86</v>
      </c>
      <c r="D37" s="831">
        <f t="shared" si="4"/>
        <v>0</v>
      </c>
      <c r="E37" s="1912">
        <f t="shared" si="8"/>
        <v>557.6</v>
      </c>
      <c r="F37" s="1877">
        <f t="shared" si="5"/>
        <v>0.75</v>
      </c>
      <c r="G37" s="2231">
        <f t="shared" si="6"/>
        <v>750</v>
      </c>
      <c r="H37" s="1925">
        <f t="shared" si="7"/>
        <v>64500</v>
      </c>
    </row>
    <row r="38" spans="1:8" ht="14.4" thickBot="1" x14ac:dyDescent="0.3">
      <c r="A38" s="1934"/>
      <c r="B38" s="2598"/>
      <c r="C38" s="2003"/>
      <c r="D38" s="2004"/>
      <c r="E38" s="1893"/>
      <c r="F38" s="1893"/>
      <c r="G38" s="2254"/>
      <c r="H38" s="1600"/>
    </row>
    <row r="39" spans="1:8" s="931" customFormat="1" ht="46.2" customHeight="1" x14ac:dyDescent="0.25">
      <c r="A39" s="2237" t="s">
        <v>226</v>
      </c>
      <c r="B39" s="2599" t="s">
        <v>1396</v>
      </c>
      <c r="C39" s="2600"/>
      <c r="D39" s="2601"/>
      <c r="E39" s="2303"/>
      <c r="F39" s="2303"/>
      <c r="G39" s="2602"/>
      <c r="H39" s="2603"/>
    </row>
    <row r="40" spans="1:8" x14ac:dyDescent="0.25">
      <c r="A40" s="1595" t="s">
        <v>515</v>
      </c>
      <c r="B40" s="829" t="s">
        <v>2483</v>
      </c>
      <c r="C40" s="673">
        <v>172</v>
      </c>
      <c r="D40" s="672" t="s">
        <v>1394</v>
      </c>
      <c r="E40" s="1892">
        <f>+'Rate Breakdowns'!G1525</f>
        <v>590.45209903121645</v>
      </c>
      <c r="F40" s="1877">
        <f>+$I$1</f>
        <v>0.75</v>
      </c>
      <c r="G40" s="2231">
        <f>ROUNDUP(E40/F40,-1)</f>
        <v>790</v>
      </c>
      <c r="H40" s="1925">
        <f>+G40*C40</f>
        <v>135880</v>
      </c>
    </row>
    <row r="41" spans="1:8" x14ac:dyDescent="0.25">
      <c r="A41" s="1595" t="s">
        <v>516</v>
      </c>
      <c r="B41" s="829" t="s">
        <v>2484</v>
      </c>
      <c r="C41" s="673">
        <v>172</v>
      </c>
      <c r="D41" s="672" t="s">
        <v>1394</v>
      </c>
      <c r="E41" s="1892">
        <f>+E40*1.02</f>
        <v>602.26114101184078</v>
      </c>
      <c r="F41" s="1877">
        <f>+$I$1</f>
        <v>0.75</v>
      </c>
      <c r="G41" s="2231">
        <f>ROUNDUP(E41/F41,-1)</f>
        <v>810</v>
      </c>
      <c r="H41" s="1925">
        <f>+G41*C41</f>
        <v>139320</v>
      </c>
    </row>
    <row r="42" spans="1:8" x14ac:dyDescent="0.25">
      <c r="A42" s="1595" t="s">
        <v>517</v>
      </c>
      <c r="B42" s="829" t="s">
        <v>2485</v>
      </c>
      <c r="C42" s="673">
        <v>140</v>
      </c>
      <c r="D42" s="672" t="s">
        <v>1394</v>
      </c>
      <c r="E42" s="1892">
        <f>+E40*1.03</f>
        <v>608.165662002153</v>
      </c>
      <c r="F42" s="1877">
        <f t="shared" ref="F42:F43" si="9">+$I$1</f>
        <v>0.75</v>
      </c>
      <c r="G42" s="2231">
        <f t="shared" ref="G42:G43" si="10">ROUNDUP(E42/F42,-1)</f>
        <v>820</v>
      </c>
      <c r="H42" s="1925">
        <f t="shared" ref="H42:H43" si="11">+G42*C42</f>
        <v>114800</v>
      </c>
    </row>
    <row r="43" spans="1:8" x14ac:dyDescent="0.25">
      <c r="A43" s="1595" t="s">
        <v>518</v>
      </c>
      <c r="B43" s="829" t="s">
        <v>2486</v>
      </c>
      <c r="C43" s="673">
        <v>53</v>
      </c>
      <c r="D43" s="672" t="s">
        <v>1394</v>
      </c>
      <c r="E43" s="1892">
        <f>+E40*1.04</f>
        <v>614.07018299246511</v>
      </c>
      <c r="F43" s="1877">
        <f t="shared" si="9"/>
        <v>0.75</v>
      </c>
      <c r="G43" s="2231">
        <f t="shared" si="10"/>
        <v>820</v>
      </c>
      <c r="H43" s="1925">
        <f t="shared" si="11"/>
        <v>43460</v>
      </c>
    </row>
    <row r="44" spans="1:8" x14ac:dyDescent="0.25">
      <c r="A44" s="1595"/>
      <c r="B44" s="829"/>
      <c r="C44" s="673"/>
      <c r="D44" s="672"/>
      <c r="E44" s="1892"/>
      <c r="F44" s="1877"/>
      <c r="G44" s="2231"/>
      <c r="H44" s="1925"/>
    </row>
    <row r="45" spans="1:8" x14ac:dyDescent="0.25">
      <c r="A45" s="1595"/>
      <c r="B45" s="829"/>
      <c r="C45" s="673"/>
      <c r="D45" s="672"/>
      <c r="E45" s="1892"/>
      <c r="F45" s="1877"/>
      <c r="G45" s="2231"/>
      <c r="H45" s="1925"/>
    </row>
    <row r="46" spans="1:8" x14ac:dyDescent="0.25">
      <c r="A46" s="1595" t="s">
        <v>2343</v>
      </c>
      <c r="B46" s="829" t="s">
        <v>1162</v>
      </c>
      <c r="C46" s="673"/>
      <c r="D46" s="672"/>
      <c r="E46" s="1892"/>
      <c r="F46" s="1877"/>
      <c r="G46" s="2231"/>
      <c r="H46" s="1925"/>
    </row>
    <row r="47" spans="1:8" ht="41.4" x14ac:dyDescent="0.25">
      <c r="A47" s="1595"/>
      <c r="B47" s="829" t="s">
        <v>2344</v>
      </c>
      <c r="C47" s="673"/>
      <c r="D47" s="672"/>
      <c r="E47" s="1892"/>
      <c r="F47" s="1877"/>
      <c r="G47" s="2231"/>
      <c r="H47" s="1925"/>
    </row>
    <row r="48" spans="1:8" x14ac:dyDescent="0.25">
      <c r="A48" s="1595" t="s">
        <v>2345</v>
      </c>
      <c r="B48" s="829" t="s">
        <v>2483</v>
      </c>
      <c r="C48" s="673">
        <v>38</v>
      </c>
      <c r="D48" s="672" t="s">
        <v>1293</v>
      </c>
      <c r="E48" s="1892">
        <f>190*3.28</f>
        <v>623.19999999999993</v>
      </c>
      <c r="F48" s="1877">
        <f>+$I$1</f>
        <v>0.75</v>
      </c>
      <c r="G48" s="2231">
        <f>ROUNDUP(E48/F48,-1)</f>
        <v>840</v>
      </c>
      <c r="H48" s="1925">
        <f>+G48*C48</f>
        <v>31920</v>
      </c>
    </row>
    <row r="49" spans="1:8" x14ac:dyDescent="0.25">
      <c r="A49" s="1595" t="s">
        <v>2346</v>
      </c>
      <c r="B49" s="829" t="s">
        <v>2484</v>
      </c>
      <c r="C49" s="673">
        <v>38</v>
      </c>
      <c r="D49" s="672" t="s">
        <v>1293</v>
      </c>
      <c r="E49" s="1892">
        <f>190*3.28*1.2</f>
        <v>747.83999999999992</v>
      </c>
      <c r="F49" s="1877">
        <f>+$I$1</f>
        <v>0.75</v>
      </c>
      <c r="G49" s="2231">
        <f>ROUNDUP(E49/F49,-1)</f>
        <v>1000</v>
      </c>
      <c r="H49" s="1925">
        <f>+G49*C49</f>
        <v>38000</v>
      </c>
    </row>
    <row r="50" spans="1:8" x14ac:dyDescent="0.25">
      <c r="A50" s="1595" t="s">
        <v>2347</v>
      </c>
      <c r="B50" s="829" t="s">
        <v>2485</v>
      </c>
      <c r="C50" s="673">
        <v>25</v>
      </c>
      <c r="D50" s="672" t="s">
        <v>1293</v>
      </c>
      <c r="E50" s="1892">
        <f>190*3.28*1.4</f>
        <v>872.4799999999999</v>
      </c>
      <c r="F50" s="1877">
        <f>+$I$1</f>
        <v>0.75</v>
      </c>
      <c r="G50" s="2231">
        <f>ROUNDUP(E50/F50,-1)</f>
        <v>1170</v>
      </c>
      <c r="H50" s="1925">
        <f>+G50*C50</f>
        <v>29250</v>
      </c>
    </row>
    <row r="51" spans="1:8" x14ac:dyDescent="0.25">
      <c r="A51" s="1595"/>
      <c r="B51" s="829"/>
      <c r="C51" s="673"/>
      <c r="D51" s="672"/>
      <c r="E51" s="1892"/>
      <c r="F51" s="1877"/>
      <c r="G51" s="2231"/>
      <c r="H51" s="1925"/>
    </row>
    <row r="52" spans="1:8" x14ac:dyDescent="0.25">
      <c r="A52" s="1595"/>
      <c r="B52" s="829"/>
      <c r="C52" s="673"/>
      <c r="D52" s="672"/>
      <c r="E52" s="1892"/>
      <c r="F52" s="1877"/>
      <c r="G52" s="2231"/>
      <c r="H52" s="1925"/>
    </row>
    <row r="53" spans="1:8" x14ac:dyDescent="0.25">
      <c r="A53" s="1595"/>
      <c r="B53" s="829"/>
      <c r="C53" s="673"/>
      <c r="D53" s="672"/>
      <c r="E53" s="1892"/>
      <c r="F53" s="1877"/>
      <c r="G53" s="2231"/>
      <c r="H53" s="1925"/>
    </row>
    <row r="54" spans="1:8" x14ac:dyDescent="0.25">
      <c r="A54" s="1595"/>
      <c r="B54" s="829"/>
      <c r="C54" s="673"/>
      <c r="D54" s="672"/>
      <c r="E54" s="1892"/>
      <c r="F54" s="1892"/>
      <c r="G54" s="674"/>
      <c r="H54" s="1596"/>
    </row>
    <row r="55" spans="1:8" ht="14.4" thickBot="1" x14ac:dyDescent="0.3">
      <c r="A55" s="1595"/>
      <c r="B55" s="829"/>
      <c r="C55" s="673"/>
      <c r="D55" s="672"/>
      <c r="E55" s="1892"/>
      <c r="F55" s="1892"/>
      <c r="G55" s="2254"/>
      <c r="H55" s="1596"/>
    </row>
    <row r="56" spans="1:8" s="931" customFormat="1" ht="14.4" thickBot="1" x14ac:dyDescent="0.3">
      <c r="A56" s="2246"/>
      <c r="B56" s="2247" t="s">
        <v>734</v>
      </c>
      <c r="C56" s="2010"/>
      <c r="D56" s="2248"/>
      <c r="E56" s="1894"/>
      <c r="F56" s="1894"/>
      <c r="G56" s="2249"/>
      <c r="H56" s="2250">
        <f>SUM(H4:H55)</f>
        <v>6189263</v>
      </c>
    </row>
    <row r="65" spans="8:8" x14ac:dyDescent="0.25">
      <c r="H65" s="835" t="e">
        <f>#REF!+#REF!+#REF!+#REF!+#REF!</f>
        <v>#REF!</v>
      </c>
    </row>
  </sheetData>
  <pageMargins left="0.47244094488188981" right="0.19685039370078741" top="0.55118110236220474" bottom="0.23622047244094491" header="0.31496062992125984" footer="0.23622047244094491"/>
  <pageSetup scale="90" fitToHeight="0" orientation="portrait" r:id="rId1"/>
  <headerFooter alignWithMargins="0">
    <oddFooter>&amp;C&amp;P</oddFooter>
  </headerFooter>
  <rowBreaks count="1" manualBreakCount="1">
    <brk id="38" max="7"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7B399-BB94-4A2B-91EB-94359A2BC17E}">
  <sheetPr>
    <tabColor rgb="FF002060"/>
  </sheetPr>
  <dimension ref="A1:I115"/>
  <sheetViews>
    <sheetView view="pageBreakPreview" topLeftCell="A107" zoomScaleNormal="85" zoomScaleSheetLayoutView="100" workbookViewId="0">
      <selection activeCell="B2" sqref="B2"/>
    </sheetView>
  </sheetViews>
  <sheetFormatPr defaultColWidth="9.21875" defaultRowHeight="13.8" x14ac:dyDescent="0.25"/>
  <cols>
    <col min="1" max="1" width="8.21875" style="2270" customWidth="1"/>
    <col min="2" max="2" width="52" style="2271" customWidth="1"/>
    <col min="3" max="3" width="8.109375" style="1960" bestFit="1" customWidth="1"/>
    <col min="4" max="4" width="6.44140625" style="2270" customWidth="1"/>
    <col min="5" max="5" width="9.109375" style="2281" hidden="1" customWidth="1"/>
    <col min="6" max="6" width="6.44140625" style="2281" hidden="1" customWidth="1"/>
    <col min="7" max="7" width="11.44140625" style="2272" bestFit="1" customWidth="1"/>
    <col min="8" max="8" width="12.6640625" style="1960" bestFit="1" customWidth="1"/>
    <col min="9" max="9" width="12.6640625" style="1960" customWidth="1"/>
    <col min="10" max="10" width="9.21875" style="1958"/>
    <col min="11" max="11" width="12.44140625" style="1958" bestFit="1" customWidth="1"/>
    <col min="12" max="12" width="10" style="1958" bestFit="1" customWidth="1"/>
    <col min="13" max="13" width="11" style="1958" bestFit="1" customWidth="1"/>
    <col min="14" max="15" width="12.88671875" style="1958" bestFit="1" customWidth="1"/>
    <col min="16" max="16" width="10.33203125" style="1958" bestFit="1" customWidth="1"/>
    <col min="17" max="16384" width="9.21875" style="1958"/>
  </cols>
  <sheetData>
    <row r="1" spans="1:9" s="2262" customFormat="1" ht="14.4" thickBot="1" x14ac:dyDescent="0.3">
      <c r="A1" s="2256" t="s">
        <v>0</v>
      </c>
      <c r="B1" s="2257" t="s">
        <v>1</v>
      </c>
      <c r="C1" s="2258" t="s">
        <v>2</v>
      </c>
      <c r="D1" s="2259" t="s">
        <v>3</v>
      </c>
      <c r="E1" s="2277" t="s">
        <v>2326</v>
      </c>
      <c r="F1" s="2278" t="s">
        <v>2327</v>
      </c>
      <c r="G1" s="2260" t="s">
        <v>4</v>
      </c>
      <c r="H1" s="2236" t="s">
        <v>5</v>
      </c>
      <c r="I1" s="2261">
        <f>+summary!D13</f>
        <v>0.75</v>
      </c>
    </row>
    <row r="2" spans="1:9" s="2262" customFormat="1" ht="15.6" x14ac:dyDescent="0.25">
      <c r="A2" s="2401"/>
      <c r="B2" s="2402" t="s">
        <v>735</v>
      </c>
      <c r="C2" s="2403"/>
      <c r="D2" s="2404"/>
      <c r="E2" s="2405"/>
      <c r="F2" s="2405"/>
      <c r="G2" s="2406"/>
      <c r="H2" s="2407"/>
      <c r="I2" s="1960"/>
    </row>
    <row r="3" spans="1:9" s="2262" customFormat="1" x14ac:dyDescent="0.25">
      <c r="A3" s="2263"/>
      <c r="B3" s="2408" t="s">
        <v>235</v>
      </c>
      <c r="C3" s="2409"/>
      <c r="D3" s="1955"/>
      <c r="E3" s="2279"/>
      <c r="F3" s="2279"/>
      <c r="G3" s="1956"/>
      <c r="H3" s="1957"/>
      <c r="I3" s="1960"/>
    </row>
    <row r="4" spans="1:9" s="2262" customFormat="1" x14ac:dyDescent="0.25">
      <c r="A4" s="2263"/>
      <c r="B4" s="2408" t="s">
        <v>236</v>
      </c>
      <c r="C4" s="2409"/>
      <c r="D4" s="1955"/>
      <c r="E4" s="2279"/>
      <c r="F4" s="2279"/>
      <c r="G4" s="1956"/>
      <c r="H4" s="1957"/>
      <c r="I4" s="1960"/>
    </row>
    <row r="5" spans="1:9" s="2262" customFormat="1" ht="46.2" customHeight="1" x14ac:dyDescent="0.25">
      <c r="A5" s="2263"/>
      <c r="B5" s="2264" t="s">
        <v>2658</v>
      </c>
      <c r="C5" s="2265"/>
      <c r="D5" s="1955"/>
      <c r="E5" s="2279"/>
      <c r="F5" s="2279"/>
      <c r="G5" s="1956"/>
      <c r="H5" s="1957"/>
      <c r="I5" s="1960"/>
    </row>
    <row r="6" spans="1:9" s="2262" customFormat="1" ht="27.6" x14ac:dyDescent="0.25">
      <c r="A6" s="2263"/>
      <c r="B6" s="2264" t="s">
        <v>1314</v>
      </c>
      <c r="C6" s="2265"/>
      <c r="D6" s="1955"/>
      <c r="E6" s="2279"/>
      <c r="F6" s="2279"/>
      <c r="G6" s="1956"/>
      <c r="H6" s="1957"/>
      <c r="I6" s="1960"/>
    </row>
    <row r="7" spans="1:9" s="2262" customFormat="1" x14ac:dyDescent="0.25">
      <c r="A7" s="2263"/>
      <c r="B7" s="2264"/>
      <c r="C7" s="2265"/>
      <c r="D7" s="1955"/>
      <c r="E7" s="2279"/>
      <c r="F7" s="2279"/>
      <c r="G7" s="1956"/>
      <c r="H7" s="1957"/>
      <c r="I7" s="1960"/>
    </row>
    <row r="8" spans="1:9" s="2262" customFormat="1" ht="27.6" x14ac:dyDescent="0.25">
      <c r="A8" s="2263"/>
      <c r="B8" s="2264" t="s">
        <v>1060</v>
      </c>
      <c r="C8" s="2265"/>
      <c r="D8" s="1955"/>
      <c r="E8" s="2279"/>
      <c r="F8" s="2279"/>
      <c r="G8" s="1956"/>
      <c r="H8" s="1957"/>
      <c r="I8" s="1960"/>
    </row>
    <row r="9" spans="1:9" x14ac:dyDescent="0.25">
      <c r="A9" s="1953"/>
      <c r="B9" s="2410"/>
      <c r="C9" s="1954"/>
      <c r="D9" s="1955"/>
      <c r="E9" s="2279"/>
      <c r="F9" s="2279"/>
      <c r="G9" s="1956"/>
      <c r="H9" s="1957"/>
    </row>
    <row r="10" spans="1:9" s="2418" customFormat="1" x14ac:dyDescent="0.25">
      <c r="A10" s="2411" t="s">
        <v>2591</v>
      </c>
      <c r="B10" s="2412" t="s">
        <v>2589</v>
      </c>
      <c r="C10" s="2413"/>
      <c r="D10" s="2414"/>
      <c r="E10" s="2433"/>
      <c r="F10" s="2433"/>
      <c r="G10" s="2415"/>
      <c r="H10" s="2416"/>
      <c r="I10" s="2417"/>
    </row>
    <row r="11" spans="1:9" x14ac:dyDescent="0.25">
      <c r="A11" s="1953"/>
      <c r="B11" s="2410"/>
      <c r="C11" s="1954"/>
      <c r="D11" s="1955"/>
      <c r="E11" s="2279"/>
      <c r="F11" s="2279"/>
      <c r="G11" s="1956"/>
      <c r="H11" s="1957"/>
    </row>
    <row r="12" spans="1:9" s="2283" customFormat="1" ht="41.4" x14ac:dyDescent="0.25">
      <c r="A12" s="1953" t="s">
        <v>2592</v>
      </c>
      <c r="B12" s="2410" t="s">
        <v>2490</v>
      </c>
      <c r="C12" s="1954"/>
      <c r="D12" s="1955"/>
      <c r="E12" s="2279"/>
      <c r="F12" s="2279"/>
      <c r="G12" s="1956"/>
      <c r="H12" s="1957"/>
      <c r="I12" s="2282"/>
    </row>
    <row r="13" spans="1:9" s="2283" customFormat="1" x14ac:dyDescent="0.25">
      <c r="A13" s="1953"/>
      <c r="B13" s="2410"/>
      <c r="C13" s="1954"/>
      <c r="D13" s="1955"/>
      <c r="E13" s="2279"/>
      <c r="F13" s="2279"/>
      <c r="G13" s="1956"/>
      <c r="H13" s="1957"/>
      <c r="I13" s="2282"/>
    </row>
    <row r="14" spans="1:9" s="2283" customFormat="1" x14ac:dyDescent="0.25">
      <c r="A14" s="1953" t="s">
        <v>2594</v>
      </c>
      <c r="B14" s="2410" t="s">
        <v>2491</v>
      </c>
      <c r="C14" s="1954">
        <v>8</v>
      </c>
      <c r="D14" s="1955" t="s">
        <v>1292</v>
      </c>
      <c r="E14" s="2279">
        <f>(2330*10.76)+'Rate Breakdowns'!G1149</f>
        <v>26255.876022604953</v>
      </c>
      <c r="F14" s="2279">
        <f>+$I$1</f>
        <v>0.75</v>
      </c>
      <c r="G14" s="1956">
        <f>ROUNDUP(E14/F14,-1)</f>
        <v>35010</v>
      </c>
      <c r="H14" s="1957">
        <f>+G14*C14</f>
        <v>280080</v>
      </c>
      <c r="I14" s="2282"/>
    </row>
    <row r="15" spans="1:9" s="2283" customFormat="1" x14ac:dyDescent="0.25">
      <c r="A15" s="1953" t="s">
        <v>2595</v>
      </c>
      <c r="B15" s="2410" t="s">
        <v>2492</v>
      </c>
      <c r="C15" s="1954">
        <v>8</v>
      </c>
      <c r="D15" s="1955" t="s">
        <v>1292</v>
      </c>
      <c r="E15" s="2279">
        <f>(2330*10.76)+'Rate Breakdowns'!G1150</f>
        <v>25180.937176822023</v>
      </c>
      <c r="F15" s="2279">
        <f>+$I$1</f>
        <v>0.75</v>
      </c>
      <c r="G15" s="1956">
        <f>ROUNDUP(E15/F15,-1)</f>
        <v>33580</v>
      </c>
      <c r="H15" s="1957">
        <f>+G15*C15</f>
        <v>268640</v>
      </c>
      <c r="I15" s="2282"/>
    </row>
    <row r="16" spans="1:9" s="2283" customFormat="1" x14ac:dyDescent="0.25">
      <c r="A16" s="1953" t="s">
        <v>2596</v>
      </c>
      <c r="B16" s="2410" t="s">
        <v>2493</v>
      </c>
      <c r="C16" s="1954">
        <v>8</v>
      </c>
      <c r="D16" s="1955" t="s">
        <v>1292</v>
      </c>
      <c r="E16" s="2279">
        <f>(2330*10.76)+'Rate Breakdowns'!G1151</f>
        <v>25070.799999999999</v>
      </c>
      <c r="F16" s="2279">
        <f>+$I$1</f>
        <v>0.75</v>
      </c>
      <c r="G16" s="1956">
        <f>ROUNDUP(E16/F16,-1)</f>
        <v>33430</v>
      </c>
      <c r="H16" s="1957">
        <f>+G16*C16</f>
        <v>267440</v>
      </c>
      <c r="I16" s="2282"/>
    </row>
    <row r="17" spans="1:9" s="2283" customFormat="1" x14ac:dyDescent="0.25">
      <c r="A17" s="1953"/>
      <c r="B17" s="2410"/>
      <c r="C17" s="1954"/>
      <c r="D17" s="1955"/>
      <c r="E17" s="2279"/>
      <c r="F17" s="2279"/>
      <c r="G17" s="1956"/>
      <c r="H17" s="1957"/>
      <c r="I17" s="2282"/>
    </row>
    <row r="18" spans="1:9" s="2283" customFormat="1" ht="41.4" x14ac:dyDescent="0.25">
      <c r="A18" s="1953" t="s">
        <v>2593</v>
      </c>
      <c r="B18" s="2410" t="s">
        <v>2409</v>
      </c>
      <c r="C18" s="1954"/>
      <c r="D18" s="1955"/>
      <c r="E18" s="2279"/>
      <c r="F18" s="2279"/>
      <c r="G18" s="1956"/>
      <c r="H18" s="1957"/>
      <c r="I18" s="2282"/>
    </row>
    <row r="19" spans="1:9" s="2283" customFormat="1" x14ac:dyDescent="0.25">
      <c r="A19" s="1953" t="s">
        <v>2597</v>
      </c>
      <c r="B19" s="2410" t="s">
        <v>2491</v>
      </c>
      <c r="C19" s="1954">
        <v>18</v>
      </c>
      <c r="D19" s="1955" t="s">
        <v>1293</v>
      </c>
      <c r="E19" s="2279">
        <f>2547+450</f>
        <v>2997</v>
      </c>
      <c r="F19" s="2279">
        <f>+$I$1</f>
        <v>0.75</v>
      </c>
      <c r="G19" s="1956">
        <f>ROUNDUP(E19/F19,-1)</f>
        <v>4000</v>
      </c>
      <c r="H19" s="1957">
        <f>+G19*C19</f>
        <v>72000</v>
      </c>
      <c r="I19" s="2282"/>
    </row>
    <row r="20" spans="1:9" s="2283" customFormat="1" x14ac:dyDescent="0.25">
      <c r="A20" s="1953" t="s">
        <v>2598</v>
      </c>
      <c r="B20" s="1958" t="s">
        <v>2492</v>
      </c>
      <c r="C20" s="1954">
        <f>+C19</f>
        <v>18</v>
      </c>
      <c r="D20" s="1955" t="s">
        <v>1293</v>
      </c>
      <c r="E20" s="2279">
        <f t="shared" ref="E20:E21" si="0">2547+450</f>
        <v>2997</v>
      </c>
      <c r="F20" s="2279">
        <f t="shared" ref="F20:F21" si="1">+$I$1</f>
        <v>0.75</v>
      </c>
      <c r="G20" s="1956">
        <f t="shared" ref="G20:G21" si="2">ROUNDUP(E20/F20,-1)</f>
        <v>4000</v>
      </c>
      <c r="H20" s="1957">
        <f t="shared" ref="H20:H21" si="3">+G20*C20</f>
        <v>72000</v>
      </c>
      <c r="I20" s="2282"/>
    </row>
    <row r="21" spans="1:9" s="2283" customFormat="1" x14ac:dyDescent="0.25">
      <c r="A21" s="1953" t="s">
        <v>2599</v>
      </c>
      <c r="B21" s="1958" t="s">
        <v>2493</v>
      </c>
      <c r="C21" s="1954">
        <f>+C19</f>
        <v>18</v>
      </c>
      <c r="D21" s="1955" t="s">
        <v>1293</v>
      </c>
      <c r="E21" s="2279">
        <f t="shared" si="0"/>
        <v>2997</v>
      </c>
      <c r="F21" s="2279">
        <f t="shared" si="1"/>
        <v>0.75</v>
      </c>
      <c r="G21" s="1956">
        <f t="shared" si="2"/>
        <v>4000</v>
      </c>
      <c r="H21" s="1957">
        <f t="shared" si="3"/>
        <v>72000</v>
      </c>
      <c r="I21" s="2282"/>
    </row>
    <row r="22" spans="1:9" x14ac:dyDescent="0.25">
      <c r="A22" s="1953"/>
      <c r="B22" s="1958"/>
      <c r="C22" s="1954"/>
      <c r="D22" s="1955"/>
      <c r="E22" s="2279"/>
      <c r="F22" s="2279"/>
      <c r="G22" s="1956"/>
      <c r="H22" s="1957"/>
    </row>
    <row r="23" spans="1:9" s="2419" customFormat="1" x14ac:dyDescent="0.25">
      <c r="A23" s="2411" t="s">
        <v>2600</v>
      </c>
      <c r="B23" s="2412" t="s">
        <v>2500</v>
      </c>
      <c r="C23" s="2413"/>
      <c r="D23" s="2414"/>
      <c r="E23" s="2433"/>
      <c r="F23" s="2433"/>
      <c r="G23" s="2415"/>
      <c r="H23" s="2416"/>
      <c r="I23" s="2269"/>
    </row>
    <row r="24" spans="1:9" x14ac:dyDescent="0.25">
      <c r="A24" s="1953"/>
      <c r="B24" s="1959"/>
      <c r="C24" s="1954"/>
      <c r="D24" s="1955"/>
      <c r="E24" s="2279"/>
      <c r="F24" s="2279"/>
      <c r="G24" s="1956"/>
      <c r="H24" s="1957"/>
    </row>
    <row r="25" spans="1:9" ht="64.2" customHeight="1" x14ac:dyDescent="0.25">
      <c r="A25" s="1953" t="s">
        <v>2601</v>
      </c>
      <c r="B25" s="2410" t="s">
        <v>2501</v>
      </c>
      <c r="C25" s="1954"/>
      <c r="D25" s="1955"/>
      <c r="E25" s="2279"/>
      <c r="F25" s="2279"/>
      <c r="G25" s="1956"/>
      <c r="H25" s="1957"/>
    </row>
    <row r="26" spans="1:9" x14ac:dyDescent="0.25">
      <c r="A26" s="1953" t="s">
        <v>2602</v>
      </c>
      <c r="B26" s="1959" t="s">
        <v>2494</v>
      </c>
      <c r="C26" s="1954">
        <v>4</v>
      </c>
      <c r="D26" s="1955" t="s">
        <v>1292</v>
      </c>
      <c r="E26" s="2279">
        <f>+'Rate Breakdowns'!G1267</f>
        <v>7973.3416307857915</v>
      </c>
      <c r="F26" s="1912">
        <f>+$I$1</f>
        <v>0.75</v>
      </c>
      <c r="G26" s="1881">
        <f>ROUNDUP(E26/F26,-1)</f>
        <v>10640</v>
      </c>
      <c r="H26" s="1925">
        <f>+G26*C26</f>
        <v>42560</v>
      </c>
    </row>
    <row r="27" spans="1:9" x14ac:dyDescent="0.25">
      <c r="A27" s="1953" t="s">
        <v>2603</v>
      </c>
      <c r="B27" s="1959" t="s">
        <v>2495</v>
      </c>
      <c r="C27" s="1954">
        <v>13</v>
      </c>
      <c r="D27" s="1955" t="s">
        <v>1292</v>
      </c>
      <c r="E27" s="2279">
        <f>+E26*1.02</f>
        <v>8132.8084634015077</v>
      </c>
      <c r="F27" s="1912">
        <f t="shared" ref="F27:F29" si="4">+$I$1</f>
        <v>0.75</v>
      </c>
      <c r="G27" s="1881">
        <f t="shared" ref="G27:G29" si="5">ROUNDUP(E27/F27,-1)</f>
        <v>10850</v>
      </c>
      <c r="H27" s="1925">
        <f t="shared" ref="H27:H29" si="6">+G27*C27</f>
        <v>141050</v>
      </c>
    </row>
    <row r="28" spans="1:9" x14ac:dyDescent="0.25">
      <c r="A28" s="1953" t="s">
        <v>2604</v>
      </c>
      <c r="B28" s="1959" t="s">
        <v>2496</v>
      </c>
      <c r="C28" s="1954">
        <v>13</v>
      </c>
      <c r="D28" s="1955" t="s">
        <v>1292</v>
      </c>
      <c r="E28" s="2279">
        <f>+E26*1.04</f>
        <v>8292.2752960172238</v>
      </c>
      <c r="F28" s="1912">
        <f t="shared" si="4"/>
        <v>0.75</v>
      </c>
      <c r="G28" s="1881">
        <f t="shared" si="5"/>
        <v>11060</v>
      </c>
      <c r="H28" s="1925">
        <f t="shared" si="6"/>
        <v>143780</v>
      </c>
    </row>
    <row r="29" spans="1:9" x14ac:dyDescent="0.25">
      <c r="A29" s="1953" t="s">
        <v>2605</v>
      </c>
      <c r="B29" s="1959" t="s">
        <v>2497</v>
      </c>
      <c r="C29" s="1954">
        <v>4</v>
      </c>
      <c r="D29" s="1955" t="s">
        <v>1292</v>
      </c>
      <c r="E29" s="2279">
        <f>+E26*1.06</f>
        <v>8451.7421286329391</v>
      </c>
      <c r="F29" s="1912">
        <f t="shared" si="4"/>
        <v>0.75</v>
      </c>
      <c r="G29" s="1881">
        <f t="shared" si="5"/>
        <v>11270</v>
      </c>
      <c r="H29" s="1925">
        <f t="shared" si="6"/>
        <v>45080</v>
      </c>
    </row>
    <row r="30" spans="1:9" s="2283" customFormat="1" x14ac:dyDescent="0.25">
      <c r="A30" s="1953"/>
      <c r="B30" s="1959"/>
      <c r="C30" s="1954"/>
      <c r="D30" s="1955"/>
      <c r="E30" s="2279"/>
      <c r="F30" s="2279"/>
      <c r="G30" s="1956"/>
      <c r="H30" s="1957"/>
      <c r="I30" s="2282"/>
    </row>
    <row r="31" spans="1:9" s="2283" customFormat="1" ht="46.8" customHeight="1" x14ac:dyDescent="0.25">
      <c r="A31" s="1953" t="s">
        <v>2606</v>
      </c>
      <c r="B31" s="2410" t="s">
        <v>2502</v>
      </c>
      <c r="C31" s="1954"/>
      <c r="D31" s="1955"/>
      <c r="E31" s="2279"/>
      <c r="F31" s="2279"/>
      <c r="G31" s="1956"/>
      <c r="H31" s="1957"/>
      <c r="I31" s="2282"/>
    </row>
    <row r="32" spans="1:9" s="2283" customFormat="1" x14ac:dyDescent="0.25">
      <c r="A32" s="1953" t="s">
        <v>2607</v>
      </c>
      <c r="B32" s="1959" t="s">
        <v>2494</v>
      </c>
      <c r="C32" s="1954">
        <v>17</v>
      </c>
      <c r="D32" s="1955" t="s">
        <v>1292</v>
      </c>
      <c r="E32" s="2279">
        <f>+'Rate Breakdowns'!G1297</f>
        <v>9307.8949138858989</v>
      </c>
      <c r="F32" s="1912">
        <f>+$I$1</f>
        <v>0.75</v>
      </c>
      <c r="G32" s="1881">
        <f>ROUNDUP(E32/F32,-1)</f>
        <v>12420</v>
      </c>
      <c r="H32" s="1925">
        <f>+G32*C32</f>
        <v>211140</v>
      </c>
      <c r="I32" s="2282"/>
    </row>
    <row r="33" spans="1:9" s="2283" customFormat="1" x14ac:dyDescent="0.25">
      <c r="A33" s="1953" t="s">
        <v>2608</v>
      </c>
      <c r="B33" s="1959" t="s">
        <v>2495</v>
      </c>
      <c r="C33" s="1954">
        <v>51</v>
      </c>
      <c r="D33" s="1955" t="s">
        <v>1292</v>
      </c>
      <c r="E33" s="2279">
        <f>+E32*1.02</f>
        <v>9494.0528121636162</v>
      </c>
      <c r="F33" s="1912">
        <f t="shared" ref="F33:F35" si="7">+$I$1</f>
        <v>0.75</v>
      </c>
      <c r="G33" s="1881">
        <f t="shared" ref="G33:G35" si="8">ROUNDUP(E33/F33,-1)</f>
        <v>12660</v>
      </c>
      <c r="H33" s="1925">
        <f t="shared" ref="H33:H35" si="9">+G33*C33</f>
        <v>645660</v>
      </c>
      <c r="I33" s="2282"/>
    </row>
    <row r="34" spans="1:9" s="2283" customFormat="1" x14ac:dyDescent="0.25">
      <c r="A34" s="1953" t="s">
        <v>2609</v>
      </c>
      <c r="B34" s="1959" t="s">
        <v>2496</v>
      </c>
      <c r="C34" s="1954">
        <v>51</v>
      </c>
      <c r="D34" s="1955" t="s">
        <v>1292</v>
      </c>
      <c r="E34" s="2279">
        <f>+E32*1.04</f>
        <v>9680.2107104413353</v>
      </c>
      <c r="F34" s="1912">
        <f t="shared" si="7"/>
        <v>0.75</v>
      </c>
      <c r="G34" s="1881">
        <f t="shared" si="8"/>
        <v>12910</v>
      </c>
      <c r="H34" s="1925">
        <f t="shared" si="9"/>
        <v>658410</v>
      </c>
      <c r="I34" s="2282"/>
    </row>
    <row r="35" spans="1:9" s="2283" customFormat="1" x14ac:dyDescent="0.25">
      <c r="A35" s="1953" t="s">
        <v>2610</v>
      </c>
      <c r="B35" s="1959" t="s">
        <v>2497</v>
      </c>
      <c r="C35" s="1954">
        <v>20</v>
      </c>
      <c r="D35" s="1955" t="s">
        <v>1292</v>
      </c>
      <c r="E35" s="2279">
        <f>+E32*1.06</f>
        <v>9866.3686087190526</v>
      </c>
      <c r="F35" s="1912">
        <f t="shared" si="7"/>
        <v>0.75</v>
      </c>
      <c r="G35" s="1881">
        <f t="shared" si="8"/>
        <v>13160</v>
      </c>
      <c r="H35" s="1925">
        <f t="shared" si="9"/>
        <v>263200</v>
      </c>
      <c r="I35" s="2282"/>
    </row>
    <row r="36" spans="1:9" ht="14.4" thickBot="1" x14ac:dyDescent="0.3">
      <c r="A36" s="2086"/>
      <c r="B36" s="2266"/>
      <c r="C36" s="2267"/>
      <c r="D36" s="2268"/>
      <c r="E36" s="2280"/>
      <c r="F36" s="2280"/>
      <c r="G36" s="2458"/>
      <c r="H36" s="2459"/>
    </row>
    <row r="37" spans="1:9" s="2419" customFormat="1" x14ac:dyDescent="0.25">
      <c r="A37" s="2460" t="s">
        <v>2612</v>
      </c>
      <c r="B37" s="2461" t="s">
        <v>2503</v>
      </c>
      <c r="C37" s="2462"/>
      <c r="D37" s="2463"/>
      <c r="E37" s="2464"/>
      <c r="F37" s="2464"/>
      <c r="G37" s="2465"/>
      <c r="H37" s="2466"/>
      <c r="I37" s="2269"/>
    </row>
    <row r="38" spans="1:9" s="2283" customFormat="1" x14ac:dyDescent="0.25">
      <c r="A38" s="1953"/>
      <c r="B38" s="1959"/>
      <c r="C38" s="1954"/>
      <c r="D38" s="1955"/>
      <c r="E38" s="2279"/>
      <c r="F38" s="2279"/>
      <c r="G38" s="1956"/>
      <c r="H38" s="1957"/>
      <c r="I38" s="2282"/>
    </row>
    <row r="39" spans="1:9" s="2283" customFormat="1" ht="49.8" customHeight="1" x14ac:dyDescent="0.25">
      <c r="A39" s="1953" t="s">
        <v>2613</v>
      </c>
      <c r="B39" s="2410" t="s">
        <v>2618</v>
      </c>
      <c r="C39" s="1954"/>
      <c r="D39" s="1955"/>
      <c r="E39" s="2279"/>
      <c r="F39" s="2279"/>
      <c r="G39" s="1956"/>
      <c r="H39" s="1957"/>
      <c r="I39" s="2282"/>
    </row>
    <row r="40" spans="1:9" s="2283" customFormat="1" x14ac:dyDescent="0.25">
      <c r="A40" s="1953" t="s">
        <v>2614</v>
      </c>
      <c r="B40" s="1959" t="s">
        <v>1269</v>
      </c>
      <c r="C40" s="1954">
        <v>123</v>
      </c>
      <c r="D40" s="1955" t="s">
        <v>1292</v>
      </c>
      <c r="E40" s="2279">
        <f>+'Rate Breakdowns'!G1267</f>
        <v>7973.3416307857915</v>
      </c>
      <c r="F40" s="1912">
        <f>+$I$1</f>
        <v>0.75</v>
      </c>
      <c r="G40" s="1881">
        <f>ROUNDUP(E40/F40,-1)</f>
        <v>10640</v>
      </c>
      <c r="H40" s="1925">
        <f>+G40*C40</f>
        <v>1308720</v>
      </c>
      <c r="I40" s="2282"/>
    </row>
    <row r="41" spans="1:9" s="2283" customFormat="1" x14ac:dyDescent="0.25">
      <c r="A41" s="1953" t="s">
        <v>2615</v>
      </c>
      <c r="B41" s="1959" t="s">
        <v>2498</v>
      </c>
      <c r="C41" s="1954">
        <v>113</v>
      </c>
      <c r="D41" s="1955" t="s">
        <v>1292</v>
      </c>
      <c r="E41" s="2279">
        <f>+E40*1.02</f>
        <v>8132.8084634015077</v>
      </c>
      <c r="F41" s="1912">
        <f t="shared" ref="F41:F43" si="10">+$I$1</f>
        <v>0.75</v>
      </c>
      <c r="G41" s="1881">
        <f t="shared" ref="G41:G43" si="11">ROUNDUP(E41/F41,-1)</f>
        <v>10850</v>
      </c>
      <c r="H41" s="1925">
        <f>+G41*C41</f>
        <v>1226050</v>
      </c>
      <c r="I41" s="2282"/>
    </row>
    <row r="42" spans="1:9" s="2283" customFormat="1" x14ac:dyDescent="0.25">
      <c r="A42" s="1953" t="s">
        <v>2616</v>
      </c>
      <c r="B42" s="1959" t="s">
        <v>2499</v>
      </c>
      <c r="C42" s="1954">
        <v>113</v>
      </c>
      <c r="D42" s="1955" t="s">
        <v>1292</v>
      </c>
      <c r="E42" s="2279">
        <f>+E40*1.04</f>
        <v>8292.2752960172238</v>
      </c>
      <c r="F42" s="1912">
        <f t="shared" si="10"/>
        <v>0.75</v>
      </c>
      <c r="G42" s="1881">
        <f t="shared" si="11"/>
        <v>11060</v>
      </c>
      <c r="H42" s="1925">
        <f>+G42*C42</f>
        <v>1249780</v>
      </c>
      <c r="I42" s="2282"/>
    </row>
    <row r="43" spans="1:9" s="2283" customFormat="1" x14ac:dyDescent="0.25">
      <c r="A43" s="1953" t="s">
        <v>2617</v>
      </c>
      <c r="B43" s="1959" t="s">
        <v>2472</v>
      </c>
      <c r="C43" s="1954">
        <v>0</v>
      </c>
      <c r="D43" s="1955" t="s">
        <v>1292</v>
      </c>
      <c r="E43" s="2279">
        <f>+E40*1.06</f>
        <v>8451.7421286329391</v>
      </c>
      <c r="F43" s="1912">
        <f t="shared" si="10"/>
        <v>0.75</v>
      </c>
      <c r="G43" s="1881">
        <f t="shared" si="11"/>
        <v>11270</v>
      </c>
      <c r="H43" s="1925">
        <f t="shared" ref="H43" si="12">+G43*C43</f>
        <v>0</v>
      </c>
      <c r="I43" s="2282"/>
    </row>
    <row r="44" spans="1:9" s="2283" customFormat="1" x14ac:dyDescent="0.25">
      <c r="A44" s="1953"/>
      <c r="B44" s="1959"/>
      <c r="C44" s="1954"/>
      <c r="D44" s="1955"/>
      <c r="E44" s="2279"/>
      <c r="F44" s="2279"/>
      <c r="G44" s="1956"/>
      <c r="H44" s="1957"/>
      <c r="I44" s="2282"/>
    </row>
    <row r="45" spans="1:9" s="2283" customFormat="1" ht="41.4" x14ac:dyDescent="0.25">
      <c r="A45" s="1953" t="s">
        <v>2619</v>
      </c>
      <c r="B45" s="2420" t="s">
        <v>2410</v>
      </c>
      <c r="C45" s="1954"/>
      <c r="D45" s="1955"/>
      <c r="E45" s="2279"/>
      <c r="F45" s="2279"/>
      <c r="G45" s="1956"/>
      <c r="H45" s="1957"/>
      <c r="I45" s="2282"/>
    </row>
    <row r="46" spans="1:9" s="2283" customFormat="1" x14ac:dyDescent="0.25">
      <c r="A46" s="1953" t="s">
        <v>2620</v>
      </c>
      <c r="B46" s="1959" t="s">
        <v>1269</v>
      </c>
      <c r="C46" s="1954">
        <v>96</v>
      </c>
      <c r="D46" s="1955" t="s">
        <v>1293</v>
      </c>
      <c r="E46" s="2279">
        <f>+'Rate Breakdowns'!G1358</f>
        <v>998.10399999999993</v>
      </c>
      <c r="F46" s="1912">
        <f>+$I$1</f>
        <v>0.75</v>
      </c>
      <c r="G46" s="1881">
        <f>ROUNDUP(E46/F46,-1)</f>
        <v>1340</v>
      </c>
      <c r="H46" s="1925">
        <f>+G46*C46</f>
        <v>128640</v>
      </c>
      <c r="I46" s="2282"/>
    </row>
    <row r="47" spans="1:9" s="2283" customFormat="1" x14ac:dyDescent="0.25">
      <c r="A47" s="1953" t="s">
        <v>2621</v>
      </c>
      <c r="B47" s="1959" t="s">
        <v>2498</v>
      </c>
      <c r="C47" s="1954">
        <v>106</v>
      </c>
      <c r="D47" s="1955" t="s">
        <v>1293</v>
      </c>
      <c r="E47" s="2279">
        <f>+E46*1.02</f>
        <v>1018.0660799999999</v>
      </c>
      <c r="F47" s="1912">
        <f t="shared" ref="F47:F49" si="13">+$I$1</f>
        <v>0.75</v>
      </c>
      <c r="G47" s="1881">
        <f t="shared" ref="G47:G49" si="14">ROUNDUP(E47/F47,-1)</f>
        <v>1360</v>
      </c>
      <c r="H47" s="1925">
        <f t="shared" ref="H47:H49" si="15">+G47*C47</f>
        <v>144160</v>
      </c>
      <c r="I47" s="2282"/>
    </row>
    <row r="48" spans="1:9" s="2283" customFormat="1" x14ac:dyDescent="0.25">
      <c r="A48" s="1953" t="s">
        <v>2622</v>
      </c>
      <c r="B48" s="1959" t="s">
        <v>2499</v>
      </c>
      <c r="C48" s="1954">
        <v>106</v>
      </c>
      <c r="D48" s="1955" t="s">
        <v>1293</v>
      </c>
      <c r="E48" s="2279">
        <f>+E46*1.04</f>
        <v>1038.0281600000001</v>
      </c>
      <c r="F48" s="1912">
        <f t="shared" si="13"/>
        <v>0.75</v>
      </c>
      <c r="G48" s="1881">
        <f t="shared" si="14"/>
        <v>1390</v>
      </c>
      <c r="H48" s="1925">
        <f t="shared" si="15"/>
        <v>147340</v>
      </c>
      <c r="I48" s="2282"/>
    </row>
    <row r="49" spans="1:9" s="2283" customFormat="1" x14ac:dyDescent="0.25">
      <c r="A49" s="1953" t="s">
        <v>2623</v>
      </c>
      <c r="B49" s="1959" t="s">
        <v>2472</v>
      </c>
      <c r="C49" s="1954">
        <v>80</v>
      </c>
      <c r="D49" s="1955" t="s">
        <v>1293</v>
      </c>
      <c r="E49" s="2279">
        <f>+E46*1.06</f>
        <v>1057.9902400000001</v>
      </c>
      <c r="F49" s="1912">
        <f t="shared" si="13"/>
        <v>0.75</v>
      </c>
      <c r="G49" s="1881">
        <f t="shared" si="14"/>
        <v>1420</v>
      </c>
      <c r="H49" s="1925">
        <f t="shared" si="15"/>
        <v>113600</v>
      </c>
      <c r="I49" s="2282"/>
    </row>
    <row r="50" spans="1:9" s="2283" customFormat="1" x14ac:dyDescent="0.25">
      <c r="A50" s="1953"/>
      <c r="B50" s="1959"/>
      <c r="C50" s="1954"/>
      <c r="D50" s="1955"/>
      <c r="E50" s="2279"/>
      <c r="F50" s="2279"/>
      <c r="G50" s="1956"/>
      <c r="H50" s="1957"/>
      <c r="I50" s="2282"/>
    </row>
    <row r="51" spans="1:9" x14ac:dyDescent="0.25">
      <c r="A51" s="1953"/>
      <c r="B51" s="1959"/>
      <c r="C51" s="1954"/>
      <c r="D51" s="1955"/>
      <c r="E51" s="2279"/>
      <c r="F51" s="2279"/>
      <c r="G51" s="1956"/>
      <c r="H51" s="1957"/>
    </row>
    <row r="52" spans="1:9" s="2418" customFormat="1" x14ac:dyDescent="0.25">
      <c r="A52" s="2411" t="s">
        <v>2624</v>
      </c>
      <c r="B52" s="2421" t="s">
        <v>2504</v>
      </c>
      <c r="C52" s="2413"/>
      <c r="D52" s="2414"/>
      <c r="E52" s="2433"/>
      <c r="F52" s="2433"/>
      <c r="G52" s="2415"/>
      <c r="H52" s="2416"/>
      <c r="I52" s="2417"/>
    </row>
    <row r="53" spans="1:9" s="2283" customFormat="1" x14ac:dyDescent="0.25">
      <c r="A53" s="1953"/>
      <c r="B53" s="1959"/>
      <c r="C53" s="1954"/>
      <c r="D53" s="1955"/>
      <c r="E53" s="2279"/>
      <c r="F53" s="2279"/>
      <c r="G53" s="1956"/>
      <c r="H53" s="1957"/>
      <c r="I53" s="2282"/>
    </row>
    <row r="54" spans="1:9" s="2283" customFormat="1" hidden="1" x14ac:dyDescent="0.25">
      <c r="A54" s="1953"/>
      <c r="B54" s="1959"/>
      <c r="C54" s="1954"/>
      <c r="D54" s="1955"/>
      <c r="E54" s="2279"/>
      <c r="F54" s="2279"/>
      <c r="G54" s="1956"/>
      <c r="H54" s="1957"/>
      <c r="I54" s="2282"/>
    </row>
    <row r="55" spans="1:9" s="2283" customFormat="1" hidden="1" x14ac:dyDescent="0.25">
      <c r="A55" s="1953"/>
      <c r="B55" s="1959"/>
      <c r="C55" s="1954"/>
      <c r="D55" s="1955"/>
      <c r="E55" s="2279"/>
      <c r="F55" s="2279"/>
      <c r="G55" s="1956"/>
      <c r="H55" s="1957"/>
      <c r="I55" s="2282"/>
    </row>
    <row r="56" spans="1:9" s="2283" customFormat="1" hidden="1" x14ac:dyDescent="0.25">
      <c r="A56" s="1953"/>
      <c r="B56" s="1959"/>
      <c r="C56" s="1954"/>
      <c r="D56" s="1955"/>
      <c r="E56" s="2279"/>
      <c r="F56" s="2279"/>
      <c r="G56" s="1956"/>
      <c r="H56" s="1957"/>
      <c r="I56" s="2282"/>
    </row>
    <row r="57" spans="1:9" s="2283" customFormat="1" hidden="1" x14ac:dyDescent="0.25">
      <c r="A57" s="1953"/>
      <c r="B57" s="1959"/>
      <c r="C57" s="1954"/>
      <c r="D57" s="1955"/>
      <c r="E57" s="2279"/>
      <c r="F57" s="2279"/>
      <c r="G57" s="1956"/>
      <c r="H57" s="1957"/>
      <c r="I57" s="2282"/>
    </row>
    <row r="58" spans="1:9" s="2283" customFormat="1" hidden="1" x14ac:dyDescent="0.25">
      <c r="A58" s="1953"/>
      <c r="B58" s="1959"/>
      <c r="C58" s="1954"/>
      <c r="D58" s="1955"/>
      <c r="E58" s="2279"/>
      <c r="F58" s="2279"/>
      <c r="G58" s="1956"/>
      <c r="H58" s="1957"/>
      <c r="I58" s="2282"/>
    </row>
    <row r="59" spans="1:9" s="2283" customFormat="1" hidden="1" x14ac:dyDescent="0.25">
      <c r="A59" s="1953"/>
      <c r="B59" s="1959"/>
      <c r="C59" s="1954"/>
      <c r="D59" s="1955"/>
      <c r="E59" s="2279"/>
      <c r="F59" s="2279"/>
      <c r="G59" s="1956"/>
      <c r="H59" s="1957"/>
      <c r="I59" s="2282"/>
    </row>
    <row r="60" spans="1:9" s="2283" customFormat="1" hidden="1" x14ac:dyDescent="0.25">
      <c r="A60" s="1953"/>
      <c r="B60" s="1959"/>
      <c r="C60" s="1954"/>
      <c r="D60" s="1955"/>
      <c r="E60" s="2279"/>
      <c r="F60" s="2279"/>
      <c r="G60" s="1956"/>
      <c r="H60" s="1957"/>
      <c r="I60" s="2282"/>
    </row>
    <row r="61" spans="1:9" s="2283" customFormat="1" hidden="1" x14ac:dyDescent="0.25">
      <c r="A61" s="1953"/>
      <c r="B61" s="1959"/>
      <c r="C61" s="1954"/>
      <c r="D61" s="1955"/>
      <c r="E61" s="2279"/>
      <c r="F61" s="2279"/>
      <c r="G61" s="1956"/>
      <c r="H61" s="1957"/>
      <c r="I61" s="2282"/>
    </row>
    <row r="62" spans="1:9" s="2283" customFormat="1" hidden="1" x14ac:dyDescent="0.25">
      <c r="A62" s="1953"/>
      <c r="B62" s="1959"/>
      <c r="C62" s="1954"/>
      <c r="D62" s="1955"/>
      <c r="E62" s="2279"/>
      <c r="F62" s="2279"/>
      <c r="G62" s="1956"/>
      <c r="H62" s="1957"/>
      <c r="I62" s="2282"/>
    </row>
    <row r="63" spans="1:9" s="2283" customFormat="1" hidden="1" x14ac:dyDescent="0.25">
      <c r="A63" s="1953"/>
      <c r="B63" s="1959"/>
      <c r="C63" s="1954"/>
      <c r="D63" s="1955"/>
      <c r="E63" s="2279"/>
      <c r="F63" s="2279"/>
      <c r="G63" s="1956"/>
      <c r="H63" s="1957"/>
      <c r="I63" s="2282"/>
    </row>
    <row r="64" spans="1:9" s="2283" customFormat="1" hidden="1" x14ac:dyDescent="0.25">
      <c r="A64" s="1953"/>
      <c r="B64" s="1959"/>
      <c r="C64" s="1954"/>
      <c r="D64" s="1955"/>
      <c r="E64" s="2279"/>
      <c r="F64" s="2279"/>
      <c r="G64" s="1956"/>
      <c r="H64" s="1957"/>
      <c r="I64" s="2282"/>
    </row>
    <row r="65" spans="1:9" s="2283" customFormat="1" hidden="1" x14ac:dyDescent="0.25">
      <c r="A65" s="1953"/>
      <c r="B65" s="1959"/>
      <c r="C65" s="1954"/>
      <c r="D65" s="1955"/>
      <c r="E65" s="2279"/>
      <c r="F65" s="2279"/>
      <c r="G65" s="1956"/>
      <c r="H65" s="1957"/>
      <c r="I65" s="2282"/>
    </row>
    <row r="66" spans="1:9" s="2283" customFormat="1" hidden="1" x14ac:dyDescent="0.25">
      <c r="A66" s="1953"/>
      <c r="B66" s="1959"/>
      <c r="C66" s="1954"/>
      <c r="D66" s="1955"/>
      <c r="E66" s="2279"/>
      <c r="F66" s="2279"/>
      <c r="G66" s="1956"/>
      <c r="H66" s="1957"/>
      <c r="I66" s="2282"/>
    </row>
    <row r="67" spans="1:9" s="2283" customFormat="1" hidden="1" x14ac:dyDescent="0.25">
      <c r="A67" s="1953"/>
      <c r="B67" s="1959"/>
      <c r="C67" s="1954"/>
      <c r="D67" s="1955"/>
      <c r="E67" s="2279"/>
      <c r="F67" s="2279"/>
      <c r="G67" s="1956"/>
      <c r="H67" s="1957"/>
      <c r="I67" s="2282"/>
    </row>
    <row r="68" spans="1:9" s="2283" customFormat="1" hidden="1" x14ac:dyDescent="0.25">
      <c r="A68" s="1953"/>
      <c r="B68" s="1959"/>
      <c r="C68" s="1954"/>
      <c r="D68" s="1955"/>
      <c r="E68" s="2279"/>
      <c r="F68" s="2279"/>
      <c r="G68" s="1956"/>
      <c r="H68" s="1957"/>
      <c r="I68" s="2282"/>
    </row>
    <row r="69" spans="1:9" s="2283" customFormat="1" hidden="1" x14ac:dyDescent="0.25">
      <c r="A69" s="1953"/>
      <c r="B69" s="1959"/>
      <c r="C69" s="1954"/>
      <c r="D69" s="1955"/>
      <c r="E69" s="2279"/>
      <c r="F69" s="2279"/>
      <c r="G69" s="1956"/>
      <c r="H69" s="1957"/>
      <c r="I69" s="2282"/>
    </row>
    <row r="70" spans="1:9" s="2283" customFormat="1" hidden="1" x14ac:dyDescent="0.25">
      <c r="A70" s="1953"/>
      <c r="B70" s="1959"/>
      <c r="C70" s="1954"/>
      <c r="D70" s="1955"/>
      <c r="E70" s="2279"/>
      <c r="F70" s="2279"/>
      <c r="G70" s="1956"/>
      <c r="H70" s="1957"/>
      <c r="I70" s="2282"/>
    </row>
    <row r="71" spans="1:9" s="2283" customFormat="1" hidden="1" x14ac:dyDescent="0.25">
      <c r="A71" s="1953"/>
      <c r="B71" s="1959"/>
      <c r="C71" s="1954"/>
      <c r="D71" s="1955"/>
      <c r="E71" s="2279"/>
      <c r="F71" s="2279"/>
      <c r="G71" s="1956"/>
      <c r="H71" s="1957"/>
      <c r="I71" s="2282"/>
    </row>
    <row r="72" spans="1:9" s="2283" customFormat="1" hidden="1" x14ac:dyDescent="0.25">
      <c r="A72" s="1953"/>
      <c r="B72" s="1959"/>
      <c r="C72" s="1954"/>
      <c r="D72" s="1955"/>
      <c r="E72" s="2279"/>
      <c r="F72" s="2279"/>
      <c r="G72" s="1956"/>
      <c r="H72" s="1957"/>
      <c r="I72" s="2282"/>
    </row>
    <row r="73" spans="1:9" s="2283" customFormat="1" hidden="1" x14ac:dyDescent="0.25">
      <c r="A73" s="1953"/>
      <c r="B73" s="1959"/>
      <c r="C73" s="1954"/>
      <c r="D73" s="1955"/>
      <c r="E73" s="2279"/>
      <c r="F73" s="2279"/>
      <c r="G73" s="1956"/>
      <c r="H73" s="1957"/>
      <c r="I73" s="2282"/>
    </row>
    <row r="74" spans="1:9" s="2283" customFormat="1" hidden="1" x14ac:dyDescent="0.25">
      <c r="A74" s="1953"/>
      <c r="B74" s="1959"/>
      <c r="C74" s="1954"/>
      <c r="D74" s="1955"/>
      <c r="E74" s="2279"/>
      <c r="F74" s="2279"/>
      <c r="G74" s="1956"/>
      <c r="H74" s="1957"/>
      <c r="I74" s="2282"/>
    </row>
    <row r="75" spans="1:9" s="2283" customFormat="1" hidden="1" x14ac:dyDescent="0.25">
      <c r="A75" s="1953"/>
      <c r="B75" s="1959"/>
      <c r="C75" s="1954"/>
      <c r="D75" s="1955"/>
      <c r="E75" s="2279"/>
      <c r="F75" s="2279"/>
      <c r="G75" s="1956"/>
      <c r="H75" s="1957"/>
      <c r="I75" s="2282"/>
    </row>
    <row r="76" spans="1:9" s="2283" customFormat="1" hidden="1" x14ac:dyDescent="0.25">
      <c r="A76" s="1953"/>
      <c r="B76" s="1959"/>
      <c r="C76" s="1954"/>
      <c r="D76" s="1955"/>
      <c r="E76" s="2279"/>
      <c r="F76" s="2279"/>
      <c r="G76" s="1956"/>
      <c r="H76" s="1957"/>
      <c r="I76" s="2282"/>
    </row>
    <row r="77" spans="1:9" s="2283" customFormat="1" hidden="1" x14ac:dyDescent="0.25">
      <c r="A77" s="1953"/>
      <c r="B77" s="1959"/>
      <c r="C77" s="1954"/>
      <c r="D77" s="1955"/>
      <c r="E77" s="2279"/>
      <c r="F77" s="2279"/>
      <c r="G77" s="1956"/>
      <c r="H77" s="1957"/>
      <c r="I77" s="2282"/>
    </row>
    <row r="78" spans="1:9" s="2283" customFormat="1" ht="69" hidden="1" x14ac:dyDescent="0.25">
      <c r="A78" s="1953"/>
      <c r="B78" s="2410" t="s">
        <v>2411</v>
      </c>
      <c r="C78" s="1954"/>
      <c r="D78" s="1955"/>
      <c r="E78" s="2279"/>
      <c r="F78" s="2279"/>
      <c r="G78" s="1956"/>
      <c r="H78" s="1957"/>
      <c r="I78" s="2282"/>
    </row>
    <row r="79" spans="1:9" s="2283" customFormat="1" hidden="1" x14ac:dyDescent="0.25">
      <c r="A79" s="1953"/>
      <c r="B79" s="1959" t="s">
        <v>61</v>
      </c>
      <c r="C79" s="1954"/>
      <c r="D79" s="1955" t="s">
        <v>1292</v>
      </c>
      <c r="E79" s="2279"/>
      <c r="F79" s="2279"/>
      <c r="G79" s="1956"/>
      <c r="H79" s="1957"/>
      <c r="I79" s="2282"/>
    </row>
    <row r="80" spans="1:9" s="2283" customFormat="1" ht="69" hidden="1" x14ac:dyDescent="0.25">
      <c r="A80" s="1953"/>
      <c r="B80" s="1959" t="s">
        <v>2412</v>
      </c>
      <c r="C80" s="1954"/>
      <c r="D80" s="1955"/>
      <c r="E80" s="2279"/>
      <c r="F80" s="2279"/>
      <c r="G80" s="1956"/>
      <c r="H80" s="1957"/>
      <c r="I80" s="2282"/>
    </row>
    <row r="81" spans="1:9" s="2283" customFormat="1" hidden="1" x14ac:dyDescent="0.25">
      <c r="A81" s="1953"/>
      <c r="B81" s="1959" t="s">
        <v>2413</v>
      </c>
      <c r="C81" s="1954"/>
      <c r="D81" s="1955" t="s">
        <v>1292</v>
      </c>
      <c r="E81" s="2279"/>
      <c r="F81" s="2279"/>
      <c r="G81" s="1956"/>
      <c r="H81" s="1957"/>
      <c r="I81" s="2282"/>
    </row>
    <row r="82" spans="1:9" s="2283" customFormat="1" hidden="1" x14ac:dyDescent="0.25">
      <c r="A82" s="2422"/>
      <c r="B82" s="2423"/>
      <c r="C82" s="2424"/>
      <c r="D82" s="2425"/>
      <c r="E82" s="2435"/>
      <c r="F82" s="2435"/>
      <c r="G82" s="1956"/>
      <c r="H82" s="1957"/>
      <c r="I82" s="2282"/>
    </row>
    <row r="83" spans="1:9" s="2283" customFormat="1" ht="41.4" hidden="1" x14ac:dyDescent="0.25">
      <c r="A83" s="2426"/>
      <c r="B83" s="2427" t="s">
        <v>2410</v>
      </c>
      <c r="C83" s="2428"/>
      <c r="D83" s="2429"/>
      <c r="E83" s="2436"/>
      <c r="F83" s="2436"/>
      <c r="G83" s="1956"/>
      <c r="H83" s="1957"/>
      <c r="I83" s="2282"/>
    </row>
    <row r="84" spans="1:9" s="2283" customFormat="1" hidden="1" x14ac:dyDescent="0.25">
      <c r="A84" s="1953"/>
      <c r="B84" s="1959" t="s">
        <v>1163</v>
      </c>
      <c r="C84" s="1954"/>
      <c r="D84" s="1955" t="s">
        <v>1293</v>
      </c>
      <c r="E84" s="2279"/>
      <c r="F84" s="2279"/>
      <c r="G84" s="1956"/>
      <c r="H84" s="1957"/>
      <c r="I84" s="2282"/>
    </row>
    <row r="85" spans="1:9" s="2283" customFormat="1" hidden="1" x14ac:dyDescent="0.25">
      <c r="A85" s="1953"/>
      <c r="B85" s="1959"/>
      <c r="C85" s="1954"/>
      <c r="D85" s="1955"/>
      <c r="E85" s="2279"/>
      <c r="F85" s="2279"/>
      <c r="G85" s="1956"/>
      <c r="H85" s="1957"/>
      <c r="I85" s="2282"/>
    </row>
    <row r="86" spans="1:9" s="2283" customFormat="1" ht="55.2" hidden="1" x14ac:dyDescent="0.25">
      <c r="A86" s="1953"/>
      <c r="B86" s="2410" t="s">
        <v>2414</v>
      </c>
      <c r="C86" s="1954"/>
      <c r="D86" s="1955"/>
      <c r="E86" s="2279"/>
      <c r="F86" s="2279"/>
      <c r="G86" s="1956"/>
      <c r="H86" s="1957"/>
      <c r="I86" s="2282"/>
    </row>
    <row r="87" spans="1:9" s="2283" customFormat="1" hidden="1" x14ac:dyDescent="0.25">
      <c r="A87" s="1953"/>
      <c r="B87" s="1959" t="s">
        <v>61</v>
      </c>
      <c r="C87" s="1954"/>
      <c r="D87" s="1955" t="s">
        <v>1292</v>
      </c>
      <c r="E87" s="2279"/>
      <c r="F87" s="2279"/>
      <c r="G87" s="1956"/>
      <c r="H87" s="1957"/>
      <c r="I87" s="2282"/>
    </row>
    <row r="88" spans="1:9" s="2283" customFormat="1" hidden="1" x14ac:dyDescent="0.25">
      <c r="A88" s="1953"/>
      <c r="B88" s="1959"/>
      <c r="C88" s="1954"/>
      <c r="D88" s="1955"/>
      <c r="E88" s="2279"/>
      <c r="F88" s="2279"/>
      <c r="G88" s="1956"/>
      <c r="H88" s="1957"/>
      <c r="I88" s="2282"/>
    </row>
    <row r="89" spans="1:9" s="2283" customFormat="1" ht="69" x14ac:dyDescent="0.25">
      <c r="A89" s="1953" t="s">
        <v>2625</v>
      </c>
      <c r="B89" s="2410" t="s">
        <v>2590</v>
      </c>
      <c r="C89" s="1954"/>
      <c r="D89" s="1955"/>
      <c r="E89" s="2279"/>
      <c r="F89" s="2279"/>
      <c r="G89" s="1956"/>
      <c r="H89" s="1957"/>
      <c r="I89" s="2282"/>
    </row>
    <row r="90" spans="1:9" s="2283" customFormat="1" x14ac:dyDescent="0.25">
      <c r="A90" s="1953" t="s">
        <v>2626</v>
      </c>
      <c r="B90" s="1959" t="s">
        <v>2505</v>
      </c>
      <c r="C90" s="1954">
        <v>28</v>
      </c>
      <c r="D90" s="1955" t="s">
        <v>1292</v>
      </c>
      <c r="E90" s="2279">
        <f>+E41</f>
        <v>8132.8084634015077</v>
      </c>
      <c r="F90" s="1912">
        <f>+$I$1</f>
        <v>0.75</v>
      </c>
      <c r="G90" s="1881">
        <f>ROUNDUP(E90/F90,-1)</f>
        <v>10850</v>
      </c>
      <c r="H90" s="1925">
        <f>+G90*C90</f>
        <v>303800</v>
      </c>
      <c r="I90" s="2282"/>
    </row>
    <row r="91" spans="1:9" s="2283" customFormat="1" x14ac:dyDescent="0.25">
      <c r="A91" s="1953" t="s">
        <v>2627</v>
      </c>
      <c r="B91" s="1959" t="s">
        <v>2506</v>
      </c>
      <c r="C91" s="1954">
        <v>28</v>
      </c>
      <c r="D91" s="1955" t="s">
        <v>1292</v>
      </c>
      <c r="E91" s="2279">
        <f>+E42</f>
        <v>8292.2752960172238</v>
      </c>
      <c r="F91" s="1912">
        <f t="shared" ref="F91:F92" si="16">+$I$1</f>
        <v>0.75</v>
      </c>
      <c r="G91" s="1881">
        <f>ROUNDUP(E91/F91,-1)</f>
        <v>11060</v>
      </c>
      <c r="H91" s="1925">
        <f t="shared" ref="H91:H92" si="17">+G91*C91</f>
        <v>309680</v>
      </c>
      <c r="I91" s="2282"/>
    </row>
    <row r="92" spans="1:9" s="2283" customFormat="1" x14ac:dyDescent="0.25">
      <c r="A92" s="1953" t="s">
        <v>2628</v>
      </c>
      <c r="B92" s="1959" t="s">
        <v>2507</v>
      </c>
      <c r="C92" s="1954">
        <v>3</v>
      </c>
      <c r="D92" s="1955" t="s">
        <v>1292</v>
      </c>
      <c r="E92" s="2279">
        <f>+E43</f>
        <v>8451.7421286329391</v>
      </c>
      <c r="F92" s="1912">
        <f t="shared" si="16"/>
        <v>0.75</v>
      </c>
      <c r="G92" s="1881">
        <f t="shared" ref="G92" si="18">ROUNDUP(E92/F92,-1)</f>
        <v>11270</v>
      </c>
      <c r="H92" s="1925">
        <f t="shared" si="17"/>
        <v>33810</v>
      </c>
      <c r="I92" s="2282"/>
    </row>
    <row r="93" spans="1:9" x14ac:dyDescent="0.25">
      <c r="A93" s="1953"/>
      <c r="B93" s="1959"/>
      <c r="C93" s="1954"/>
      <c r="D93" s="1955"/>
      <c r="E93" s="2279"/>
      <c r="F93" s="1912"/>
      <c r="G93" s="1881"/>
      <c r="H93" s="1925"/>
    </row>
    <row r="94" spans="1:9" x14ac:dyDescent="0.25">
      <c r="A94" s="1953"/>
      <c r="B94" s="1959"/>
      <c r="C94" s="1954"/>
      <c r="D94" s="1955"/>
      <c r="E94" s="2279"/>
      <c r="F94" s="1912"/>
      <c r="G94" s="1881"/>
      <c r="H94" s="1925"/>
    </row>
    <row r="95" spans="1:9" s="2283" customFormat="1" ht="41.4" x14ac:dyDescent="0.25">
      <c r="A95" s="1953" t="s">
        <v>2629</v>
      </c>
      <c r="B95" s="1959" t="s">
        <v>2410</v>
      </c>
      <c r="C95" s="1954"/>
      <c r="D95" s="1955"/>
      <c r="E95" s="2279"/>
      <c r="F95" s="1912"/>
      <c r="G95" s="1881"/>
      <c r="H95" s="1925"/>
      <c r="I95" s="2282"/>
    </row>
    <row r="96" spans="1:9" s="2283" customFormat="1" x14ac:dyDescent="0.25">
      <c r="A96" s="1953" t="s">
        <v>2630</v>
      </c>
      <c r="B96" s="1959" t="s">
        <v>2505</v>
      </c>
      <c r="C96" s="1954">
        <v>35</v>
      </c>
      <c r="D96" s="1955" t="s">
        <v>101</v>
      </c>
      <c r="E96" s="2279">
        <f>+E47</f>
        <v>1018.0660799999999</v>
      </c>
      <c r="F96" s="1912">
        <f t="shared" ref="F96:F98" si="19">+$I$1</f>
        <v>0.75</v>
      </c>
      <c r="G96" s="1881">
        <f t="shared" ref="G96:G98" si="20">ROUNDUP(E96/F96,-1)</f>
        <v>1360</v>
      </c>
      <c r="H96" s="1925">
        <f>+G96*C96</f>
        <v>47600</v>
      </c>
      <c r="I96" s="2282"/>
    </row>
    <row r="97" spans="1:9" s="2283" customFormat="1" x14ac:dyDescent="0.25">
      <c r="A97" s="1953" t="s">
        <v>2631</v>
      </c>
      <c r="B97" s="1959" t="s">
        <v>2506</v>
      </c>
      <c r="C97" s="1954">
        <v>35</v>
      </c>
      <c r="D97" s="1955" t="s">
        <v>101</v>
      </c>
      <c r="E97" s="2279">
        <f>+E48</f>
        <v>1038.0281600000001</v>
      </c>
      <c r="F97" s="1912">
        <f t="shared" si="19"/>
        <v>0.75</v>
      </c>
      <c r="G97" s="1881">
        <f t="shared" si="20"/>
        <v>1390</v>
      </c>
      <c r="H97" s="1925">
        <f t="shared" ref="H97:H98" si="21">+G97*C97</f>
        <v>48650</v>
      </c>
      <c r="I97" s="2282"/>
    </row>
    <row r="98" spans="1:9" s="2283" customFormat="1" x14ac:dyDescent="0.25">
      <c r="A98" s="1953" t="s">
        <v>2632</v>
      </c>
      <c r="B98" s="1959" t="s">
        <v>2507</v>
      </c>
      <c r="C98" s="1954">
        <v>2</v>
      </c>
      <c r="D98" s="1955" t="s">
        <v>101</v>
      </c>
      <c r="E98" s="2279">
        <f>+E49</f>
        <v>1057.9902400000001</v>
      </c>
      <c r="F98" s="1912">
        <f t="shared" si="19"/>
        <v>0.75</v>
      </c>
      <c r="G98" s="1881">
        <f t="shared" si="20"/>
        <v>1420</v>
      </c>
      <c r="H98" s="1925">
        <f t="shared" si="21"/>
        <v>2840</v>
      </c>
      <c r="I98" s="2282"/>
    </row>
    <row r="99" spans="1:9" x14ac:dyDescent="0.25">
      <c r="A99" s="1953"/>
      <c r="B99" s="1959"/>
      <c r="C99" s="1954"/>
      <c r="D99" s="1955"/>
      <c r="E99" s="2279"/>
      <c r="F99" s="1912"/>
      <c r="G99" s="1881"/>
      <c r="H99" s="1925"/>
    </row>
    <row r="100" spans="1:9" s="2418" customFormat="1" x14ac:dyDescent="0.25">
      <c r="A100" s="2411" t="s">
        <v>2633</v>
      </c>
      <c r="B100" s="2421" t="s">
        <v>2509</v>
      </c>
      <c r="C100" s="2413"/>
      <c r="D100" s="2414"/>
      <c r="E100" s="2433"/>
      <c r="F100" s="2434"/>
      <c r="G100" s="2431"/>
      <c r="H100" s="2432"/>
      <c r="I100" s="2417"/>
    </row>
    <row r="101" spans="1:9" s="2283" customFormat="1" x14ac:dyDescent="0.25">
      <c r="A101" s="1953"/>
      <c r="B101" s="1959"/>
      <c r="C101" s="1954"/>
      <c r="D101" s="1955"/>
      <c r="E101" s="2279"/>
      <c r="F101" s="1912"/>
      <c r="G101" s="1881"/>
      <c r="H101" s="1925"/>
      <c r="I101" s="2282"/>
    </row>
    <row r="102" spans="1:9" s="2283" customFormat="1" ht="69.599999999999994" thickBot="1" x14ac:dyDescent="0.3">
      <c r="A102" s="2086" t="s">
        <v>2634</v>
      </c>
      <c r="B102" s="2266" t="s">
        <v>2508</v>
      </c>
      <c r="C102" s="2267">
        <v>28</v>
      </c>
      <c r="D102" s="2268" t="s">
        <v>1292</v>
      </c>
      <c r="E102" s="2280">
        <f>+'Rate Breakdowns'!G1267</f>
        <v>7973.3416307857915</v>
      </c>
      <c r="F102" s="1893">
        <f t="shared" ref="F102" si="22">+$I$1</f>
        <v>0.75</v>
      </c>
      <c r="G102" s="2467">
        <f>ROUNDUP(E102/F102,-1)</f>
        <v>10640</v>
      </c>
      <c r="H102" s="1600">
        <f>+G102*C102</f>
        <v>297920</v>
      </c>
      <c r="I102" s="2282"/>
    </row>
    <row r="103" spans="1:9" s="2419" customFormat="1" x14ac:dyDescent="0.25">
      <c r="A103" s="2460" t="s">
        <v>2635</v>
      </c>
      <c r="B103" s="2468" t="s">
        <v>2510</v>
      </c>
      <c r="C103" s="2462"/>
      <c r="D103" s="2463"/>
      <c r="E103" s="2464"/>
      <c r="F103" s="2469"/>
      <c r="G103" s="2470"/>
      <c r="H103" s="2471"/>
      <c r="I103" s="2269"/>
    </row>
    <row r="104" spans="1:9" x14ac:dyDescent="0.25">
      <c r="A104" s="1953"/>
      <c r="B104" s="1959"/>
      <c r="C104" s="1954"/>
      <c r="D104" s="1955"/>
      <c r="E104" s="2279"/>
      <c r="F104" s="1912"/>
      <c r="G104" s="1881"/>
      <c r="H104" s="1925"/>
    </row>
    <row r="105" spans="1:9" ht="69" x14ac:dyDescent="0.25">
      <c r="A105" s="1953" t="s">
        <v>2636</v>
      </c>
      <c r="B105" s="1959" t="s">
        <v>2508</v>
      </c>
      <c r="C105" s="1954">
        <v>37</v>
      </c>
      <c r="D105" s="1955" t="s">
        <v>1292</v>
      </c>
      <c r="E105" s="2279">
        <f>+'Rate Breakdowns'!G1267*1.06</f>
        <v>8451.7421286329391</v>
      </c>
      <c r="F105" s="1892">
        <f t="shared" ref="F105" si="23">+$I$1</f>
        <v>0.75</v>
      </c>
      <c r="G105" s="2430">
        <f>ROUNDUP(E105/F105,-1)</f>
        <v>11270</v>
      </c>
      <c r="H105" s="1596">
        <f>+G105*C105</f>
        <v>416990</v>
      </c>
    </row>
    <row r="106" spans="1:9" x14ac:dyDescent="0.25">
      <c r="A106" s="1953"/>
      <c r="B106" s="1959"/>
      <c r="C106" s="1954"/>
      <c r="D106" s="1955"/>
      <c r="E106" s="2279"/>
      <c r="F106" s="1912"/>
      <c r="G106" s="1881"/>
      <c r="H106" s="1925"/>
    </row>
    <row r="107" spans="1:9" s="2419" customFormat="1" x14ac:dyDescent="0.25">
      <c r="A107" s="2411" t="s">
        <v>2663</v>
      </c>
      <c r="B107" s="2421" t="s">
        <v>2662</v>
      </c>
      <c r="C107" s="2413"/>
      <c r="D107" s="1955"/>
      <c r="E107" s="2279"/>
      <c r="F107" s="1912"/>
      <c r="G107" s="1881"/>
      <c r="H107" s="1925"/>
      <c r="I107" s="2269"/>
    </row>
    <row r="108" spans="1:9" ht="69" x14ac:dyDescent="0.25">
      <c r="A108" s="1953" t="s">
        <v>2664</v>
      </c>
      <c r="B108" s="1959" t="s">
        <v>2508</v>
      </c>
      <c r="C108" s="1954">
        <v>36</v>
      </c>
      <c r="D108" s="1955" t="s">
        <v>1292</v>
      </c>
      <c r="E108" s="2279">
        <f>+'Rate Breakdowns'!G1267*1.06</f>
        <v>8451.7421286329391</v>
      </c>
      <c r="F108" s="1892">
        <f t="shared" ref="F108" si="24">+$I$1</f>
        <v>0.75</v>
      </c>
      <c r="G108" s="2430">
        <f>ROUNDUP(E108/F108,-1)</f>
        <v>11270</v>
      </c>
      <c r="H108" s="1596">
        <f>+G108*C108</f>
        <v>405720</v>
      </c>
    </row>
    <row r="109" spans="1:9" x14ac:dyDescent="0.25">
      <c r="A109" s="1953"/>
      <c r="B109" s="2421"/>
      <c r="C109" s="1954"/>
      <c r="D109" s="1955"/>
      <c r="E109" s="2279"/>
      <c r="F109" s="1892"/>
      <c r="G109" s="2430"/>
      <c r="H109" s="1596"/>
    </row>
    <row r="110" spans="1:9" x14ac:dyDescent="0.25">
      <c r="A110" s="1953"/>
      <c r="B110" s="1959"/>
      <c r="C110" s="1954"/>
      <c r="D110" s="1955"/>
      <c r="E110" s="2279"/>
      <c r="F110" s="1892"/>
      <c r="G110" s="2430"/>
      <c r="H110" s="1596"/>
    </row>
    <row r="111" spans="1:9" x14ac:dyDescent="0.25">
      <c r="A111" s="1953"/>
      <c r="B111" s="1959"/>
      <c r="C111" s="1954"/>
      <c r="D111" s="1955"/>
      <c r="E111" s="2279"/>
      <c r="F111" s="1892"/>
      <c r="G111" s="2430"/>
      <c r="H111" s="1596"/>
    </row>
    <row r="112" spans="1:9" x14ac:dyDescent="0.25">
      <c r="A112" s="1953"/>
      <c r="B112" s="1959"/>
      <c r="C112" s="1954"/>
      <c r="D112" s="1955"/>
      <c r="E112" s="2279"/>
      <c r="F112" s="1892"/>
      <c r="G112" s="2430"/>
      <c r="H112" s="1596"/>
    </row>
    <row r="113" spans="1:9" x14ac:dyDescent="0.25">
      <c r="A113" s="1953"/>
      <c r="B113" s="1959"/>
      <c r="C113" s="1954"/>
      <c r="D113" s="1955"/>
      <c r="E113" s="2279"/>
      <c r="F113" s="1892"/>
      <c r="G113" s="2430"/>
      <c r="H113" s="1596"/>
    </row>
    <row r="114" spans="1:9" ht="14.4" thickBot="1" x14ac:dyDescent="0.3">
      <c r="A114" s="1953"/>
      <c r="B114" s="1959"/>
      <c r="C114" s="1954"/>
      <c r="D114" s="1955"/>
      <c r="E114" s="2279"/>
      <c r="F114" s="2279"/>
      <c r="G114" s="1956"/>
      <c r="H114" s="1957"/>
    </row>
    <row r="115" spans="1:9" s="2457" customFormat="1" ht="16.2" thickBot="1" x14ac:dyDescent="0.3">
      <c r="A115" s="2449"/>
      <c r="B115" s="2450" t="s">
        <v>736</v>
      </c>
      <c r="C115" s="2451"/>
      <c r="D115" s="2452"/>
      <c r="E115" s="2453"/>
      <c r="F115" s="2453"/>
      <c r="G115" s="2454"/>
      <c r="H115" s="2455">
        <f>SUM(H3:H114)</f>
        <v>9368340</v>
      </c>
      <c r="I115" s="2456"/>
    </row>
  </sheetData>
  <pageMargins left="0.51181102362204722" right="0.31496062992125984" top="0.43307086614173229" bottom="0.23622047244094491" header="0.19685039370078741" footer="0.51181102362204722"/>
  <pageSetup orientation="portrait" r:id="rId1"/>
  <headerFooter alignWithMargins="0">
    <oddFooter>&amp;C&amp;P</oddFooter>
  </headerFooter>
  <rowBreaks count="2" manualBreakCount="2">
    <brk id="36" max="7" man="1"/>
    <brk id="102" max="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2060"/>
  </sheetPr>
  <dimension ref="A1:I26"/>
  <sheetViews>
    <sheetView view="pageBreakPreview" topLeftCell="A7" zoomScaleNormal="85" zoomScaleSheetLayoutView="100" workbookViewId="0">
      <selection activeCell="B2" sqref="B2"/>
    </sheetView>
  </sheetViews>
  <sheetFormatPr defaultColWidth="9.21875" defaultRowHeight="13.8" x14ac:dyDescent="0.25"/>
  <cols>
    <col min="1" max="1" width="8.21875" style="38" customWidth="1"/>
    <col min="2" max="2" width="49.44140625" style="36" customWidth="1"/>
    <col min="3" max="3" width="6.5546875" style="39" bestFit="1" customWidth="1"/>
    <col min="4" max="4" width="8.5546875" style="38" customWidth="1"/>
    <col min="5" max="6" width="9.44140625" style="1879" hidden="1" customWidth="1"/>
    <col min="7" max="7" width="9.5546875" style="202" bestFit="1" customWidth="1"/>
    <col min="8" max="8" width="12.6640625" style="39" bestFit="1" customWidth="1"/>
    <col min="9" max="9" width="9.21875" style="24"/>
    <col min="10" max="10" width="12.44140625" style="24" bestFit="1" customWidth="1"/>
    <col min="11" max="11" width="10" style="24" bestFit="1" customWidth="1"/>
    <col min="12" max="12" width="11" style="24" bestFit="1" customWidth="1"/>
    <col min="13" max="14" width="12.88671875" style="24" bestFit="1" customWidth="1"/>
    <col min="15" max="15" width="11.6640625" style="24" bestFit="1" customWidth="1"/>
    <col min="16" max="16384" width="9.21875" style="24"/>
  </cols>
  <sheetData>
    <row r="1" spans="1:9" s="31" customFormat="1" ht="14.4" thickBot="1" x14ac:dyDescent="0.3">
      <c r="A1" s="45" t="s">
        <v>0</v>
      </c>
      <c r="B1" s="46" t="s">
        <v>1</v>
      </c>
      <c r="C1" s="47" t="s">
        <v>2</v>
      </c>
      <c r="D1" s="48" t="s">
        <v>3</v>
      </c>
      <c r="E1" s="1885" t="s">
        <v>2326</v>
      </c>
      <c r="F1" s="2011" t="s">
        <v>2327</v>
      </c>
      <c r="G1" s="2339" t="s">
        <v>4</v>
      </c>
      <c r="H1" s="49" t="s">
        <v>5</v>
      </c>
      <c r="I1" s="31">
        <f>+summary!D14</f>
        <v>0.75</v>
      </c>
    </row>
    <row r="2" spans="1:9" s="31" customFormat="1" ht="27.6" x14ac:dyDescent="0.25">
      <c r="A2" s="649"/>
      <c r="B2" s="2340" t="s">
        <v>239</v>
      </c>
      <c r="C2" s="1975"/>
      <c r="D2" s="322"/>
      <c r="E2" s="1887"/>
      <c r="F2" s="1876"/>
      <c r="G2" s="1869"/>
      <c r="H2" s="1591"/>
    </row>
    <row r="3" spans="1:9" s="31" customFormat="1" ht="41.4" x14ac:dyDescent="0.25">
      <c r="A3" s="651"/>
      <c r="B3" s="328" t="s">
        <v>724</v>
      </c>
      <c r="C3" s="301"/>
      <c r="D3" s="251"/>
      <c r="E3" s="1886"/>
      <c r="F3" s="1875"/>
      <c r="G3" s="1868"/>
      <c r="H3" s="1593"/>
    </row>
    <row r="4" spans="1:9" s="31" customFormat="1" x14ac:dyDescent="0.25">
      <c r="A4" s="651"/>
      <c r="B4" s="328"/>
      <c r="C4" s="301"/>
      <c r="D4" s="251"/>
      <c r="E4" s="1886"/>
      <c r="F4" s="1875"/>
      <c r="G4" s="1868"/>
      <c r="H4" s="1593"/>
    </row>
    <row r="5" spans="1:9" s="31" customFormat="1" x14ac:dyDescent="0.25">
      <c r="A5" s="651"/>
      <c r="B5" s="328" t="s">
        <v>725</v>
      </c>
      <c r="C5" s="301"/>
      <c r="D5" s="251"/>
      <c r="E5" s="1886"/>
      <c r="F5" s="1875"/>
      <c r="G5" s="1868"/>
      <c r="H5" s="1593"/>
    </row>
    <row r="6" spans="1:9" ht="48" customHeight="1" x14ac:dyDescent="0.25">
      <c r="A6" s="1594" t="s">
        <v>527</v>
      </c>
      <c r="B6" s="903" t="s">
        <v>1354</v>
      </c>
      <c r="C6" s="304"/>
      <c r="D6" s="251"/>
      <c r="E6" s="1886"/>
      <c r="F6" s="1875"/>
      <c r="G6" s="1868"/>
      <c r="H6" s="1593"/>
    </row>
    <row r="7" spans="1:9" x14ac:dyDescent="0.25">
      <c r="A7" s="1594" t="s">
        <v>528</v>
      </c>
      <c r="B7" s="829" t="s">
        <v>61</v>
      </c>
      <c r="C7" s="304">
        <v>329</v>
      </c>
      <c r="D7" s="251" t="s">
        <v>1292</v>
      </c>
      <c r="E7" s="1886">
        <f>+'Rate Breakdowns'!G1500</f>
        <v>967.07938643702914</v>
      </c>
      <c r="F7" s="1875">
        <f>+$I$1</f>
        <v>0.75</v>
      </c>
      <c r="G7" s="1881">
        <f>ROUNDUP(E7/F7,-1)</f>
        <v>1290</v>
      </c>
      <c r="H7" s="1593">
        <f>+G7*C7</f>
        <v>424410</v>
      </c>
    </row>
    <row r="8" spans="1:9" x14ac:dyDescent="0.25">
      <c r="A8" s="1594" t="s">
        <v>529</v>
      </c>
      <c r="B8" s="829" t="s">
        <v>62</v>
      </c>
      <c r="C8" s="304">
        <v>451</v>
      </c>
      <c r="D8" s="251" t="s">
        <v>1292</v>
      </c>
      <c r="E8" s="1886">
        <f>+E7*1.01</f>
        <v>976.7501803013995</v>
      </c>
      <c r="F8" s="1875">
        <f t="shared" ref="F8" si="0">+$I$1</f>
        <v>0.75</v>
      </c>
      <c r="G8" s="1881">
        <f t="shared" ref="G8:G9" si="1">ROUNDUP(E8/F8,-1)</f>
        <v>1310</v>
      </c>
      <c r="H8" s="1593">
        <f t="shared" ref="H8" si="2">+G8*C8</f>
        <v>590810</v>
      </c>
    </row>
    <row r="9" spans="1:9" s="676" customFormat="1" x14ac:dyDescent="0.25">
      <c r="A9" s="1595" t="s">
        <v>530</v>
      </c>
      <c r="B9" s="829" t="s">
        <v>1270</v>
      </c>
      <c r="C9" s="673">
        <v>451</v>
      </c>
      <c r="D9" s="672" t="s">
        <v>1292</v>
      </c>
      <c r="E9" s="1886">
        <f>+E7*1.02</f>
        <v>986.42097416576974</v>
      </c>
      <c r="F9" s="1875">
        <f>+$I$1</f>
        <v>0.75</v>
      </c>
      <c r="G9" s="1881">
        <f t="shared" si="1"/>
        <v>1320</v>
      </c>
      <c r="H9" s="1593">
        <f>+G9*C9</f>
        <v>595320</v>
      </c>
    </row>
    <row r="10" spans="1:9" s="676" customFormat="1" x14ac:dyDescent="0.25">
      <c r="A10" s="1594" t="s">
        <v>531</v>
      </c>
      <c r="B10" s="829" t="s">
        <v>2485</v>
      </c>
      <c r="C10" s="673">
        <v>187</v>
      </c>
      <c r="D10" s="672" t="s">
        <v>1292</v>
      </c>
      <c r="E10" s="1886">
        <f>+E8*1.03</f>
        <v>1006.0526857104416</v>
      </c>
      <c r="F10" s="1875">
        <f t="shared" ref="F10" si="3">+$I$1</f>
        <v>0.75</v>
      </c>
      <c r="G10" s="1881">
        <f t="shared" ref="G10" si="4">ROUNDUP(E10/F10,-1)</f>
        <v>1350</v>
      </c>
      <c r="H10" s="1593">
        <f t="shared" ref="H10" si="5">+G10*C10</f>
        <v>252450</v>
      </c>
    </row>
    <row r="11" spans="1:9" x14ac:dyDescent="0.25">
      <c r="A11" s="1594"/>
      <c r="B11" s="829"/>
      <c r="C11" s="304"/>
      <c r="D11" s="251"/>
      <c r="E11" s="1886"/>
      <c r="F11" s="1875"/>
      <c r="G11" s="1868"/>
      <c r="H11" s="1593"/>
    </row>
    <row r="12" spans="1:9" ht="36" customHeight="1" x14ac:dyDescent="0.25">
      <c r="A12" s="1594" t="s">
        <v>240</v>
      </c>
      <c r="B12" s="829" t="s">
        <v>1355</v>
      </c>
      <c r="C12" s="304"/>
      <c r="D12" s="251"/>
      <c r="E12" s="1886"/>
      <c r="F12" s="1875"/>
      <c r="G12" s="1868"/>
      <c r="H12" s="1593"/>
    </row>
    <row r="13" spans="1:9" x14ac:dyDescent="0.25">
      <c r="A13" s="1594" t="s">
        <v>543</v>
      </c>
      <c r="B13" s="829" t="s">
        <v>2483</v>
      </c>
      <c r="C13" s="304">
        <v>172</v>
      </c>
      <c r="D13" s="251" t="s">
        <v>1292</v>
      </c>
      <c r="E13" s="1886">
        <f>+'Rate Breakdowns'!G1549</f>
        <v>741.8713670613563</v>
      </c>
      <c r="F13" s="1875">
        <f>+$I$1</f>
        <v>0.75</v>
      </c>
      <c r="G13" s="1881">
        <f>ROUNDUP(E13/F13,-1)</f>
        <v>990</v>
      </c>
      <c r="H13" s="1593">
        <f>+G13*C13</f>
        <v>170280</v>
      </c>
    </row>
    <row r="14" spans="1:9" x14ac:dyDescent="0.25">
      <c r="A14" s="1594" t="s">
        <v>544</v>
      </c>
      <c r="B14" s="829" t="s">
        <v>2484</v>
      </c>
      <c r="C14" s="304">
        <v>172</v>
      </c>
      <c r="D14" s="251" t="s">
        <v>1292</v>
      </c>
      <c r="E14" s="1886">
        <f>+E13*1.01</f>
        <v>749.29008073196985</v>
      </c>
      <c r="F14" s="1875">
        <f>+$I$1</f>
        <v>0.75</v>
      </c>
      <c r="G14" s="1881">
        <f t="shared" ref="G14" si="6">ROUNDUP(E14/F14,-1)</f>
        <v>1000</v>
      </c>
      <c r="H14" s="1593">
        <f>+G14*C14</f>
        <v>172000</v>
      </c>
    </row>
    <row r="15" spans="1:9" x14ac:dyDescent="0.25">
      <c r="A15" s="1594" t="s">
        <v>545</v>
      </c>
      <c r="B15" s="829" t="s">
        <v>2485</v>
      </c>
      <c r="C15" s="304">
        <v>140</v>
      </c>
      <c r="D15" s="251" t="s">
        <v>1292</v>
      </c>
      <c r="E15" s="1886">
        <f>+E14*1.02</f>
        <v>764.27588234660925</v>
      </c>
      <c r="F15" s="1875">
        <f t="shared" ref="F15:F16" si="7">+$I$1</f>
        <v>0.75</v>
      </c>
      <c r="G15" s="1881">
        <f t="shared" ref="G15:G16" si="8">ROUNDUP(E15/F15,-1)</f>
        <v>1020</v>
      </c>
      <c r="H15" s="1593">
        <f t="shared" ref="H15:H16" si="9">+G15*C15</f>
        <v>142800</v>
      </c>
    </row>
    <row r="16" spans="1:9" x14ac:dyDescent="0.25">
      <c r="A16" s="1594" t="s">
        <v>2487</v>
      </c>
      <c r="B16" s="829" t="s">
        <v>2486</v>
      </c>
      <c r="C16" s="304">
        <v>53</v>
      </c>
      <c r="D16" s="251" t="s">
        <v>1292</v>
      </c>
      <c r="E16" s="1886">
        <f>+E15*1.03</f>
        <v>787.20415881700751</v>
      </c>
      <c r="F16" s="1875">
        <f t="shared" si="7"/>
        <v>0.75</v>
      </c>
      <c r="G16" s="1881">
        <f t="shared" si="8"/>
        <v>1050</v>
      </c>
      <c r="H16" s="1593">
        <f t="shared" si="9"/>
        <v>55650</v>
      </c>
    </row>
    <row r="17" spans="1:8" x14ac:dyDescent="0.25">
      <c r="A17" s="1594"/>
      <c r="B17" s="829"/>
      <c r="C17" s="304"/>
      <c r="D17" s="251"/>
      <c r="E17" s="1886"/>
      <c r="F17" s="1875"/>
      <c r="G17" s="1868"/>
      <c r="H17" s="1593"/>
    </row>
    <row r="18" spans="1:8" x14ac:dyDescent="0.25">
      <c r="A18" s="1594"/>
      <c r="B18" s="2310" t="s">
        <v>726</v>
      </c>
      <c r="C18" s="304"/>
      <c r="D18" s="251"/>
      <c r="E18" s="1886"/>
      <c r="F18" s="1875"/>
      <c r="G18" s="1868"/>
      <c r="H18" s="1593"/>
    </row>
    <row r="19" spans="1:8" ht="78" customHeight="1" x14ac:dyDescent="0.25">
      <c r="A19" s="1594" t="s">
        <v>539</v>
      </c>
      <c r="B19" s="829" t="s">
        <v>1363</v>
      </c>
      <c r="C19" s="304"/>
      <c r="D19" s="251"/>
      <c r="E19" s="1886"/>
      <c r="F19" s="1875"/>
      <c r="G19" s="1868"/>
      <c r="H19" s="1593"/>
    </row>
    <row r="20" spans="1:8" x14ac:dyDescent="0.25">
      <c r="A20" s="1594" t="s">
        <v>541</v>
      </c>
      <c r="B20" s="303" t="s">
        <v>61</v>
      </c>
      <c r="C20" s="304">
        <v>182</v>
      </c>
      <c r="D20" s="251" t="s">
        <v>1292</v>
      </c>
      <c r="E20" s="1886">
        <f>+'Rate Breakdowns'!G1581</f>
        <v>1719.3864370290635</v>
      </c>
      <c r="F20" s="1875">
        <f t="shared" ref="F20:F22" si="10">+$I$1</f>
        <v>0.75</v>
      </c>
      <c r="G20" s="1881">
        <f>ROUNDUP(E20/F20,-1)</f>
        <v>2300</v>
      </c>
      <c r="H20" s="1593">
        <f>+G20*C20</f>
        <v>418600</v>
      </c>
    </row>
    <row r="21" spans="1:8" x14ac:dyDescent="0.25">
      <c r="A21" s="1594" t="s">
        <v>542</v>
      </c>
      <c r="B21" s="303" t="s">
        <v>62</v>
      </c>
      <c r="C21" s="304">
        <v>207</v>
      </c>
      <c r="D21" s="251" t="s">
        <v>1292</v>
      </c>
      <c r="E21" s="1886">
        <f>+E20*1.02</f>
        <v>1753.7741657696447</v>
      </c>
      <c r="F21" s="1875">
        <f t="shared" si="10"/>
        <v>0.75</v>
      </c>
      <c r="G21" s="1881">
        <f>ROUNDUP(E21/F21,-1)</f>
        <v>2340</v>
      </c>
      <c r="H21" s="1593">
        <f>+G21*C21</f>
        <v>484380</v>
      </c>
    </row>
    <row r="22" spans="1:8" x14ac:dyDescent="0.25">
      <c r="A22" s="1594" t="s">
        <v>546</v>
      </c>
      <c r="B22" s="303" t="s">
        <v>1270</v>
      </c>
      <c r="C22" s="304">
        <v>207</v>
      </c>
      <c r="D22" s="251" t="s">
        <v>1292</v>
      </c>
      <c r="E22" s="1886">
        <f>+E20*1.04</f>
        <v>1788.1618945102261</v>
      </c>
      <c r="F22" s="1875">
        <f t="shared" si="10"/>
        <v>0.75</v>
      </c>
      <c r="G22" s="1881">
        <f t="shared" ref="G22:G23" si="11">ROUNDUP(E22/F22,-1)</f>
        <v>2390</v>
      </c>
      <c r="H22" s="1593">
        <f>+G22*C22</f>
        <v>494730</v>
      </c>
    </row>
    <row r="23" spans="1:8" s="676" customFormat="1" x14ac:dyDescent="0.25">
      <c r="A23" s="1594" t="s">
        <v>547</v>
      </c>
      <c r="B23" s="829" t="s">
        <v>2472</v>
      </c>
      <c r="C23" s="673">
        <v>111</v>
      </c>
      <c r="D23" s="672" t="s">
        <v>1292</v>
      </c>
      <c r="E23" s="1886">
        <f>+E20*1.06</f>
        <v>1822.5496232508074</v>
      </c>
      <c r="F23" s="1875">
        <f>+$I$1</f>
        <v>0.75</v>
      </c>
      <c r="G23" s="1881">
        <f t="shared" si="11"/>
        <v>2440</v>
      </c>
      <c r="H23" s="1593">
        <f>+G23*C23</f>
        <v>270840</v>
      </c>
    </row>
    <row r="24" spans="1:8" s="676" customFormat="1" x14ac:dyDescent="0.25">
      <c r="A24" s="2639"/>
      <c r="B24" s="2640"/>
      <c r="C24" s="2641"/>
      <c r="D24" s="2642"/>
      <c r="E24" s="2643"/>
      <c r="F24" s="2644"/>
      <c r="G24" s="2645"/>
      <c r="H24" s="2646"/>
    </row>
    <row r="25" spans="1:8" ht="14.4" thickBot="1" x14ac:dyDescent="0.3">
      <c r="A25" s="1594"/>
      <c r="B25" s="303"/>
      <c r="C25" s="304"/>
      <c r="D25" s="251"/>
      <c r="E25" s="1886"/>
      <c r="F25" s="1875"/>
      <c r="G25" s="1868"/>
      <c r="H25" s="1593"/>
    </row>
    <row r="26" spans="1:8" s="12" customFormat="1" ht="36" customHeight="1" thickBot="1" x14ac:dyDescent="0.3">
      <c r="A26" s="313"/>
      <c r="B26" s="1601" t="s">
        <v>737</v>
      </c>
      <c r="C26" s="314"/>
      <c r="D26" s="315"/>
      <c r="E26" s="1889"/>
      <c r="F26" s="1878"/>
      <c r="G26" s="1871"/>
      <c r="H26" s="2341">
        <f>SUM(H4:H25)</f>
        <v>4072270</v>
      </c>
    </row>
  </sheetData>
  <pageMargins left="0.51" right="0.23622047244094491" top="0.39370078740157483" bottom="0.23622047244094491" header="0.31496062992125984" footer="0.23622047244094491"/>
  <pageSetup scale="105" fitToHeight="0" orientation="portrait" r:id="rId1"/>
  <headerFooter alignWithMargins="0">
    <oddFooter>&amp;C&amp;P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40919-172E-4C1C-855E-CBD9EE4F94D0}">
  <sheetPr>
    <tabColor rgb="FF002060"/>
  </sheetPr>
  <dimension ref="A1:M221"/>
  <sheetViews>
    <sheetView view="pageBreakPreview" zoomScaleNormal="85" zoomScaleSheetLayoutView="100" workbookViewId="0">
      <selection activeCell="H23" sqref="H23"/>
    </sheetView>
  </sheetViews>
  <sheetFormatPr defaultColWidth="9.21875" defaultRowHeight="13.8" x14ac:dyDescent="0.25"/>
  <cols>
    <col min="1" max="1" width="5" style="38" bestFit="1" customWidth="1"/>
    <col min="2" max="2" width="64.109375" style="36" customWidth="1"/>
    <col min="3" max="3" width="7.21875" style="579" bestFit="1" customWidth="1"/>
    <col min="4" max="4" width="5.5546875" style="579" bestFit="1" customWidth="1"/>
    <col min="5" max="5" width="11.6640625" style="1914" hidden="1" customWidth="1"/>
    <col min="6" max="6" width="8.6640625" style="1914" hidden="1" customWidth="1"/>
    <col min="7" max="7" width="13.33203125" style="1946" bestFit="1" customWidth="1"/>
    <col min="8" max="8" width="12.88671875" style="579" bestFit="1" customWidth="1"/>
    <col min="9" max="9" width="9.21875" style="24"/>
    <col min="10" max="10" width="88.44140625" style="659" customWidth="1"/>
    <col min="11" max="11" width="10" style="24" bestFit="1" customWidth="1"/>
    <col min="12" max="12" width="11" style="24" bestFit="1" customWidth="1"/>
    <col min="13" max="14" width="12.88671875" style="24" bestFit="1" customWidth="1"/>
    <col min="15" max="15" width="10.33203125" style="24" bestFit="1" customWidth="1"/>
    <col min="16" max="16384" width="9.21875" style="24"/>
  </cols>
  <sheetData>
    <row r="1" spans="1:10" s="31" customFormat="1" ht="14.4" thickBot="1" x14ac:dyDescent="0.3">
      <c r="A1" s="45" t="s">
        <v>0</v>
      </c>
      <c r="B1" s="46" t="s">
        <v>1</v>
      </c>
      <c r="C1" s="1602" t="s">
        <v>2</v>
      </c>
      <c r="D1" s="1603" t="s">
        <v>3</v>
      </c>
      <c r="E1" s="1898" t="s">
        <v>2326</v>
      </c>
      <c r="F1" s="1898" t="s">
        <v>2327</v>
      </c>
      <c r="G1" s="1935" t="s">
        <v>4</v>
      </c>
      <c r="H1" s="1604" t="s">
        <v>5</v>
      </c>
      <c r="I1" s="31">
        <v>0.75</v>
      </c>
      <c r="J1" s="941"/>
    </row>
    <row r="2" spans="1:10" s="12" customFormat="1" ht="15.6" x14ac:dyDescent="0.25">
      <c r="A2" s="1605"/>
      <c r="B2" s="766" t="s">
        <v>740</v>
      </c>
      <c r="C2" s="767"/>
      <c r="D2" s="768"/>
      <c r="E2" s="1910"/>
      <c r="F2" s="1910"/>
      <c r="G2" s="1936"/>
      <c r="H2" s="1606"/>
      <c r="J2" s="942"/>
    </row>
    <row r="3" spans="1:10" s="12" customFormat="1" ht="15.6" x14ac:dyDescent="0.25">
      <c r="A3" s="1607"/>
      <c r="B3" s="2300" t="s">
        <v>916</v>
      </c>
      <c r="C3" s="769"/>
      <c r="D3" s="770"/>
      <c r="E3" s="1911"/>
      <c r="F3" s="1911"/>
      <c r="G3" s="1937"/>
      <c r="H3" s="1608"/>
      <c r="J3" s="942"/>
    </row>
    <row r="4" spans="1:10" s="12" customFormat="1" ht="15.6" x14ac:dyDescent="0.25">
      <c r="A4" s="1592"/>
      <c r="B4" s="327"/>
      <c r="C4" s="771"/>
      <c r="D4" s="2285"/>
      <c r="E4" s="1912"/>
      <c r="F4" s="1912"/>
      <c r="G4" s="1938"/>
      <c r="H4" s="1651"/>
      <c r="J4" s="942"/>
    </row>
    <row r="5" spans="1:10" s="12" customFormat="1" ht="15.6" hidden="1" x14ac:dyDescent="0.25">
      <c r="A5" s="1592"/>
      <c r="B5" s="327"/>
      <c r="C5" s="771"/>
      <c r="D5" s="2285"/>
      <c r="E5" s="1912"/>
      <c r="F5" s="1912"/>
      <c r="G5" s="1938"/>
      <c r="H5" s="1651"/>
      <c r="J5" s="942"/>
    </row>
    <row r="6" spans="1:10" s="12" customFormat="1" ht="15.6" hidden="1" x14ac:dyDescent="0.25">
      <c r="A6" s="1592"/>
      <c r="B6" s="327" t="s">
        <v>2352</v>
      </c>
      <c r="C6" s="771"/>
      <c r="D6" s="2285"/>
      <c r="E6" s="1912"/>
      <c r="F6" s="1912"/>
      <c r="G6" s="1938"/>
      <c r="H6" s="1651"/>
      <c r="J6" s="942"/>
    </row>
    <row r="7" spans="1:10" s="12" customFormat="1" ht="62.4" hidden="1" x14ac:dyDescent="0.25">
      <c r="A7" s="1592" t="s">
        <v>249</v>
      </c>
      <c r="B7" s="772" t="s">
        <v>2353</v>
      </c>
      <c r="C7" s="771"/>
      <c r="D7" s="2285" t="s">
        <v>78</v>
      </c>
      <c r="E7" s="1912"/>
      <c r="F7" s="1912"/>
      <c r="G7" s="1938"/>
      <c r="H7" s="1651"/>
      <c r="J7" s="942"/>
    </row>
    <row r="8" spans="1:10" s="12" customFormat="1" ht="15.6" hidden="1" x14ac:dyDescent="0.25">
      <c r="A8" s="1592"/>
      <c r="B8" s="327"/>
      <c r="C8" s="771"/>
      <c r="D8" s="2285"/>
      <c r="E8" s="1912"/>
      <c r="F8" s="1912"/>
      <c r="G8" s="1938"/>
      <c r="H8" s="1651"/>
      <c r="J8" s="942"/>
    </row>
    <row r="9" spans="1:10" s="12" customFormat="1" ht="46.8" hidden="1" x14ac:dyDescent="0.25">
      <c r="A9" s="1592" t="s">
        <v>250</v>
      </c>
      <c r="B9" s="772" t="s">
        <v>2354</v>
      </c>
      <c r="C9" s="771"/>
      <c r="D9" s="2285" t="s">
        <v>78</v>
      </c>
      <c r="E9" s="1912"/>
      <c r="F9" s="1912"/>
      <c r="G9" s="1938"/>
      <c r="H9" s="1651"/>
      <c r="J9" s="942"/>
    </row>
    <row r="10" spans="1:10" s="12" customFormat="1" ht="15.6" hidden="1" x14ac:dyDescent="0.25">
      <c r="A10" s="1592"/>
      <c r="B10" s="327"/>
      <c r="C10" s="771"/>
      <c r="D10" s="2285"/>
      <c r="E10" s="1912"/>
      <c r="F10" s="1912"/>
      <c r="G10" s="1938"/>
      <c r="H10" s="1651"/>
      <c r="J10" s="942"/>
    </row>
    <row r="11" spans="1:10" s="12" customFormat="1" ht="62.4" hidden="1" x14ac:dyDescent="0.25">
      <c r="A11" s="1592" t="s">
        <v>251</v>
      </c>
      <c r="B11" s="772" t="s">
        <v>2355</v>
      </c>
      <c r="C11" s="771"/>
      <c r="D11" s="2285" t="s">
        <v>78</v>
      </c>
      <c r="E11" s="1912"/>
      <c r="F11" s="1912"/>
      <c r="G11" s="1938"/>
      <c r="H11" s="1651"/>
      <c r="J11" s="942"/>
    </row>
    <row r="12" spans="1:10" s="12" customFormat="1" ht="15.6" hidden="1" x14ac:dyDescent="0.25">
      <c r="A12" s="1592"/>
      <c r="B12" s="327"/>
      <c r="C12" s="771"/>
      <c r="D12" s="2285"/>
      <c r="E12" s="1912"/>
      <c r="F12" s="1912"/>
      <c r="G12" s="1938"/>
      <c r="H12" s="1651"/>
      <c r="J12" s="942"/>
    </row>
    <row r="13" spans="1:10" s="12" customFormat="1" ht="46.8" hidden="1" x14ac:dyDescent="0.25">
      <c r="A13" s="1592" t="s">
        <v>252</v>
      </c>
      <c r="B13" s="772" t="s">
        <v>2356</v>
      </c>
      <c r="C13" s="771"/>
      <c r="D13" s="2285" t="s">
        <v>78</v>
      </c>
      <c r="E13" s="1912"/>
      <c r="F13" s="1912"/>
      <c r="G13" s="1938"/>
      <c r="H13" s="1651"/>
      <c r="J13" s="942"/>
    </row>
    <row r="14" spans="1:10" s="12" customFormat="1" ht="15.6" hidden="1" x14ac:dyDescent="0.25">
      <c r="A14" s="1592"/>
      <c r="B14" s="327"/>
      <c r="C14" s="771"/>
      <c r="D14" s="2285"/>
      <c r="E14" s="1912"/>
      <c r="F14" s="1912"/>
      <c r="G14" s="1938"/>
      <c r="H14" s="1651"/>
      <c r="J14" s="942"/>
    </row>
    <row r="15" spans="1:10" s="12" customFormat="1" ht="15.6" hidden="1" x14ac:dyDescent="0.25">
      <c r="A15" s="1592"/>
      <c r="B15" s="311"/>
      <c r="C15" s="771"/>
      <c r="D15" s="2285"/>
      <c r="E15" s="1912"/>
      <c r="F15" s="1912"/>
      <c r="G15" s="1938"/>
      <c r="H15" s="1651"/>
      <c r="J15" s="942"/>
    </row>
    <row r="16" spans="1:10" s="12" customFormat="1" ht="124.8" hidden="1" x14ac:dyDescent="0.25">
      <c r="A16" s="1592" t="s">
        <v>249</v>
      </c>
      <c r="B16" s="772" t="s">
        <v>2357</v>
      </c>
      <c r="C16" s="771"/>
      <c r="D16" s="2285"/>
      <c r="E16" s="1912"/>
      <c r="F16" s="1912"/>
      <c r="G16" s="1938"/>
      <c r="H16" s="1651"/>
      <c r="J16" s="942"/>
    </row>
    <row r="17" spans="1:10" s="12" customFormat="1" ht="15.6" hidden="1" x14ac:dyDescent="0.25">
      <c r="A17" s="1592"/>
      <c r="B17" s="772" t="s">
        <v>715</v>
      </c>
      <c r="C17" s="771"/>
      <c r="D17" s="2285" t="s">
        <v>78</v>
      </c>
      <c r="E17" s="1912"/>
      <c r="F17" s="1912"/>
      <c r="G17" s="1938"/>
      <c r="H17" s="1651"/>
      <c r="J17" s="942"/>
    </row>
    <row r="18" spans="1:10" s="12" customFormat="1" ht="15.6" hidden="1" x14ac:dyDescent="0.25">
      <c r="A18" s="1592"/>
      <c r="B18" s="772" t="s">
        <v>1392</v>
      </c>
      <c r="C18" s="771"/>
      <c r="D18" s="2285" t="s">
        <v>78</v>
      </c>
      <c r="E18" s="1912"/>
      <c r="F18" s="1912"/>
      <c r="G18" s="1938"/>
      <c r="H18" s="1651"/>
      <c r="J18" s="942"/>
    </row>
    <row r="19" spans="1:10" s="12" customFormat="1" ht="15.6" hidden="1" x14ac:dyDescent="0.25">
      <c r="A19" s="1592"/>
      <c r="B19" s="772" t="s">
        <v>1393</v>
      </c>
      <c r="C19" s="771"/>
      <c r="D19" s="2285" t="s">
        <v>78</v>
      </c>
      <c r="E19" s="1912"/>
      <c r="F19" s="1912"/>
      <c r="G19" s="1938"/>
      <c r="H19" s="1651"/>
      <c r="J19" s="942"/>
    </row>
    <row r="20" spans="1:10" s="12" customFormat="1" ht="15.6" hidden="1" x14ac:dyDescent="0.25">
      <c r="A20" s="1592"/>
      <c r="B20" s="311"/>
      <c r="C20" s="771"/>
      <c r="D20" s="2285"/>
      <c r="E20" s="1912"/>
      <c r="F20" s="1912"/>
      <c r="G20" s="1938"/>
      <c r="H20" s="1651"/>
      <c r="J20" s="942"/>
    </row>
    <row r="21" spans="1:10" s="12" customFormat="1" ht="121.8" customHeight="1" x14ac:dyDescent="0.25">
      <c r="A21" s="1592" t="s">
        <v>249</v>
      </c>
      <c r="B21" s="772" t="s">
        <v>2358</v>
      </c>
      <c r="C21" s="771"/>
      <c r="D21" s="2285"/>
      <c r="E21" s="1912"/>
      <c r="F21" s="1912"/>
      <c r="G21" s="1938"/>
      <c r="H21" s="1651"/>
      <c r="J21" s="942"/>
    </row>
    <row r="22" spans="1:10" s="12" customFormat="1" ht="15.6" x14ac:dyDescent="0.25">
      <c r="A22" s="1592"/>
      <c r="B22" s="826" t="s">
        <v>61</v>
      </c>
      <c r="C22" s="771">
        <v>1</v>
      </c>
      <c r="D22" s="2285" t="s">
        <v>78</v>
      </c>
      <c r="E22" s="1912">
        <f>45000+6500</f>
        <v>51500</v>
      </c>
      <c r="F22" s="1912">
        <f>+$I$1</f>
        <v>0.75</v>
      </c>
      <c r="G22" s="1881">
        <f>ROUNDUP(E22/F22,-1)</f>
        <v>68670</v>
      </c>
      <c r="H22" s="1593">
        <f>+G22*C22</f>
        <v>68670</v>
      </c>
      <c r="J22" s="942"/>
    </row>
    <row r="23" spans="1:10" s="12" customFormat="1" ht="15.6" x14ac:dyDescent="0.25">
      <c r="A23" s="1592"/>
      <c r="B23" s="826" t="s">
        <v>2505</v>
      </c>
      <c r="C23" s="771">
        <v>3</v>
      </c>
      <c r="D23" s="2285" t="s">
        <v>78</v>
      </c>
      <c r="E23" s="1912">
        <f>+E22*1.02</f>
        <v>52530</v>
      </c>
      <c r="F23" s="1912">
        <f>+$I$1</f>
        <v>0.75</v>
      </c>
      <c r="G23" s="1881">
        <f>ROUNDUP(E23/F23,-1)</f>
        <v>70040</v>
      </c>
      <c r="H23" s="1593">
        <f>+G23*C23</f>
        <v>210120</v>
      </c>
      <c r="J23" s="942"/>
    </row>
    <row r="24" spans="1:10" s="12" customFormat="1" ht="15.6" x14ac:dyDescent="0.25">
      <c r="A24" s="1592"/>
      <c r="B24" s="826" t="s">
        <v>2499</v>
      </c>
      <c r="C24" s="771">
        <v>3</v>
      </c>
      <c r="D24" s="2285" t="s">
        <v>78</v>
      </c>
      <c r="E24" s="1912">
        <f>+E22*1.04</f>
        <v>53560</v>
      </c>
      <c r="F24" s="1912">
        <f>+$I$1</f>
        <v>0.75</v>
      </c>
      <c r="G24" s="1881">
        <f>ROUNDUP(E24/F24,-1)</f>
        <v>71420</v>
      </c>
      <c r="H24" s="1593">
        <f>+G24*C24</f>
        <v>214260</v>
      </c>
      <c r="J24" s="942"/>
    </row>
    <row r="25" spans="1:10" s="12" customFormat="1" ht="15.6" x14ac:dyDescent="0.25">
      <c r="A25" s="1592"/>
      <c r="B25" s="826" t="s">
        <v>2457</v>
      </c>
      <c r="C25" s="771">
        <v>1</v>
      </c>
      <c r="D25" s="2285" t="s">
        <v>78</v>
      </c>
      <c r="E25" s="1912">
        <f>+E22*1.06</f>
        <v>54590</v>
      </c>
      <c r="F25" s="1912">
        <f>+$I$1</f>
        <v>0.75</v>
      </c>
      <c r="G25" s="1881">
        <f>ROUNDUP(E25/F25,-1)</f>
        <v>72790</v>
      </c>
      <c r="H25" s="1593">
        <f>+G25*C25</f>
        <v>72790</v>
      </c>
      <c r="J25" s="942"/>
    </row>
    <row r="26" spans="1:10" s="12" customFormat="1" ht="15.6" x14ac:dyDescent="0.25">
      <c r="A26" s="1592"/>
      <c r="B26" s="772"/>
      <c r="C26" s="771"/>
      <c r="D26" s="2285"/>
      <c r="E26" s="1912"/>
      <c r="F26" s="1912"/>
      <c r="G26" s="1938"/>
      <c r="H26" s="1651"/>
      <c r="J26" s="942"/>
    </row>
    <row r="27" spans="1:10" s="12" customFormat="1" ht="124.8" x14ac:dyDescent="0.25">
      <c r="A27" s="1592" t="s">
        <v>250</v>
      </c>
      <c r="B27" s="772" t="s">
        <v>2359</v>
      </c>
      <c r="C27" s="771"/>
      <c r="D27" s="2285"/>
      <c r="E27" s="1912"/>
      <c r="F27" s="1912"/>
      <c r="G27" s="1938"/>
      <c r="H27" s="1651"/>
      <c r="J27" s="942"/>
    </row>
    <row r="28" spans="1:10" s="12" customFormat="1" ht="15.6" x14ac:dyDescent="0.25">
      <c r="A28" s="1592"/>
      <c r="B28" s="826" t="s">
        <v>61</v>
      </c>
      <c r="C28" s="771">
        <v>1</v>
      </c>
      <c r="D28" s="2285" t="s">
        <v>78</v>
      </c>
      <c r="E28" s="1912">
        <f>55000+7000</f>
        <v>62000</v>
      </c>
      <c r="F28" s="1912">
        <f t="shared" ref="F28:F31" si="0">+$I$1</f>
        <v>0.75</v>
      </c>
      <c r="G28" s="1881">
        <f>ROUNDUP(E28/F28,-1)</f>
        <v>82670</v>
      </c>
      <c r="H28" s="1665">
        <f>+G28*C28</f>
        <v>82670</v>
      </c>
      <c r="J28" s="942"/>
    </row>
    <row r="29" spans="1:10" s="12" customFormat="1" ht="15.6" x14ac:dyDescent="0.25">
      <c r="A29" s="1592"/>
      <c r="B29" s="826" t="s">
        <v>2505</v>
      </c>
      <c r="C29" s="771">
        <v>3</v>
      </c>
      <c r="D29" s="2285" t="s">
        <v>78</v>
      </c>
      <c r="E29" s="1912">
        <f>+E28*1.02</f>
        <v>63240</v>
      </c>
      <c r="F29" s="1912">
        <f t="shared" si="0"/>
        <v>0.75</v>
      </c>
      <c r="G29" s="1881">
        <f>ROUNDUP(E29/F29,-1)</f>
        <v>84320</v>
      </c>
      <c r="H29" s="1665">
        <f>+G29*C29</f>
        <v>252960</v>
      </c>
      <c r="J29" s="942"/>
    </row>
    <row r="30" spans="1:10" s="12" customFormat="1" ht="15.6" x14ac:dyDescent="0.25">
      <c r="A30" s="1592"/>
      <c r="B30" s="826" t="s">
        <v>2499</v>
      </c>
      <c r="C30" s="771">
        <v>3</v>
      </c>
      <c r="D30" s="2285" t="s">
        <v>78</v>
      </c>
      <c r="E30" s="1912">
        <f>+E28*1.04</f>
        <v>64480</v>
      </c>
      <c r="F30" s="1912">
        <f t="shared" si="0"/>
        <v>0.75</v>
      </c>
      <c r="G30" s="1881">
        <f>ROUNDUP(E30/F30,-1)</f>
        <v>85980</v>
      </c>
      <c r="H30" s="1665">
        <f>+G30*C30</f>
        <v>257940</v>
      </c>
      <c r="J30" s="942"/>
    </row>
    <row r="31" spans="1:10" s="12" customFormat="1" ht="15.6" x14ac:dyDescent="0.25">
      <c r="A31" s="1592"/>
      <c r="B31" s="826" t="s">
        <v>2457</v>
      </c>
      <c r="C31" s="771">
        <v>1</v>
      </c>
      <c r="D31" s="2285" t="s">
        <v>78</v>
      </c>
      <c r="E31" s="1912">
        <f>+E28*1.06</f>
        <v>65720</v>
      </c>
      <c r="F31" s="1912">
        <f t="shared" si="0"/>
        <v>0.75</v>
      </c>
      <c r="G31" s="1881">
        <f>ROUNDUP(E31/F31,-1)</f>
        <v>87630</v>
      </c>
      <c r="H31" s="1665">
        <f>+G31*C31</f>
        <v>87630</v>
      </c>
      <c r="J31" s="942"/>
    </row>
    <row r="32" spans="1:10" s="12" customFormat="1" ht="15.6" x14ac:dyDescent="0.25">
      <c r="A32" s="1592"/>
      <c r="B32" s="311"/>
      <c r="C32" s="771"/>
      <c r="D32" s="2285"/>
      <c r="E32" s="1912"/>
      <c r="F32" s="1912"/>
      <c r="G32" s="1938"/>
      <c r="H32" s="1651"/>
      <c r="J32" s="942"/>
    </row>
    <row r="33" spans="1:10" s="12" customFormat="1" ht="46.8" hidden="1" x14ac:dyDescent="0.25">
      <c r="A33" s="1592" t="s">
        <v>254</v>
      </c>
      <c r="B33" s="847" t="s">
        <v>2360</v>
      </c>
      <c r="C33" s="771"/>
      <c r="D33" s="2285"/>
      <c r="E33" s="1912"/>
      <c r="F33" s="1912"/>
      <c r="G33" s="1938"/>
      <c r="H33" s="1651"/>
      <c r="J33" s="942"/>
    </row>
    <row r="34" spans="1:10" s="12" customFormat="1" ht="15.6" hidden="1" x14ac:dyDescent="0.25">
      <c r="A34" s="1592"/>
      <c r="B34" s="772" t="s">
        <v>1406</v>
      </c>
      <c r="C34" s="771"/>
      <c r="D34" s="2285" t="s">
        <v>78</v>
      </c>
      <c r="E34" s="1912"/>
      <c r="F34" s="1912"/>
      <c r="G34" s="1938"/>
      <c r="H34" s="1651"/>
      <c r="J34" s="942"/>
    </row>
    <row r="35" spans="1:10" s="12" customFormat="1" ht="15.6" hidden="1" x14ac:dyDescent="0.25">
      <c r="A35" s="1592"/>
      <c r="B35" s="772"/>
      <c r="C35" s="771"/>
      <c r="D35" s="2285"/>
      <c r="E35" s="1912"/>
      <c r="F35" s="1912"/>
      <c r="G35" s="1938"/>
      <c r="H35" s="1651"/>
      <c r="J35" s="942"/>
    </row>
    <row r="36" spans="1:10" s="12" customFormat="1" ht="46.8" x14ac:dyDescent="0.25">
      <c r="A36" s="1592" t="s">
        <v>251</v>
      </c>
      <c r="B36" s="772" t="s">
        <v>1398</v>
      </c>
      <c r="C36" s="771"/>
      <c r="D36" s="2285"/>
      <c r="E36" s="1912"/>
      <c r="F36" s="1912"/>
      <c r="G36" s="1938"/>
      <c r="H36" s="1651"/>
      <c r="J36" s="942"/>
    </row>
    <row r="37" spans="1:10" s="12" customFormat="1" ht="15.6" x14ac:dyDescent="0.25">
      <c r="A37" s="1592"/>
      <c r="B37" s="826" t="s">
        <v>61</v>
      </c>
      <c r="C37" s="771">
        <v>1</v>
      </c>
      <c r="D37" s="2285" t="s">
        <v>78</v>
      </c>
      <c r="E37" s="1912">
        <f>2500+300</f>
        <v>2800</v>
      </c>
      <c r="F37" s="1912">
        <f t="shared" ref="F37:F40" si="1">+$I$1</f>
        <v>0.75</v>
      </c>
      <c r="G37" s="1881">
        <f>ROUNDUP(E37/F37,-1)</f>
        <v>3740</v>
      </c>
      <c r="H37" s="1665">
        <f>+G37*C37</f>
        <v>3740</v>
      </c>
      <c r="J37" s="942"/>
    </row>
    <row r="38" spans="1:10" s="12" customFormat="1" ht="15.6" x14ac:dyDescent="0.25">
      <c r="A38" s="1592"/>
      <c r="B38" s="826" t="s">
        <v>2505</v>
      </c>
      <c r="C38" s="771">
        <v>3</v>
      </c>
      <c r="D38" s="2285" t="s">
        <v>78</v>
      </c>
      <c r="E38" s="1912">
        <f t="shared" ref="E38:E40" si="2">2500+300</f>
        <v>2800</v>
      </c>
      <c r="F38" s="1912">
        <f t="shared" si="1"/>
        <v>0.75</v>
      </c>
      <c r="G38" s="1881">
        <f>ROUNDUP(E38/F38,-1)</f>
        <v>3740</v>
      </c>
      <c r="H38" s="1665">
        <f>+G38*C38</f>
        <v>11220</v>
      </c>
      <c r="J38" s="942"/>
    </row>
    <row r="39" spans="1:10" s="12" customFormat="1" ht="15.6" x14ac:dyDescent="0.25">
      <c r="A39" s="1592"/>
      <c r="B39" s="826" t="s">
        <v>2499</v>
      </c>
      <c r="C39" s="771">
        <v>3</v>
      </c>
      <c r="D39" s="2285" t="s">
        <v>78</v>
      </c>
      <c r="E39" s="1912">
        <f t="shared" si="2"/>
        <v>2800</v>
      </c>
      <c r="F39" s="1912">
        <f t="shared" si="1"/>
        <v>0.75</v>
      </c>
      <c r="G39" s="1881">
        <f>ROUNDUP(E39/F39,-1)</f>
        <v>3740</v>
      </c>
      <c r="H39" s="1665">
        <f>+G39*C39</f>
        <v>11220</v>
      </c>
      <c r="J39" s="942"/>
    </row>
    <row r="40" spans="1:10" s="12" customFormat="1" ht="15.6" x14ac:dyDescent="0.25">
      <c r="A40" s="1592"/>
      <c r="B40" s="826" t="s">
        <v>2457</v>
      </c>
      <c r="C40" s="771">
        <v>1</v>
      </c>
      <c r="D40" s="2285" t="s">
        <v>78</v>
      </c>
      <c r="E40" s="1912">
        <f t="shared" si="2"/>
        <v>2800</v>
      </c>
      <c r="F40" s="1912">
        <f t="shared" si="1"/>
        <v>0.75</v>
      </c>
      <c r="G40" s="1881">
        <f>ROUNDUP(E40/F40,-1)</f>
        <v>3740</v>
      </c>
      <c r="H40" s="1665">
        <f>+G40*C40</f>
        <v>3740</v>
      </c>
      <c r="J40" s="942"/>
    </row>
    <row r="41" spans="1:10" s="12" customFormat="1" ht="15.6" x14ac:dyDescent="0.25">
      <c r="A41" s="1592"/>
      <c r="B41" s="826"/>
      <c r="C41" s="771"/>
      <c r="D41" s="2285"/>
      <c r="E41" s="1912"/>
      <c r="F41" s="1912"/>
      <c r="G41" s="1881"/>
      <c r="H41" s="1665"/>
      <c r="J41" s="942"/>
    </row>
    <row r="42" spans="1:10" s="12" customFormat="1" ht="15.6" x14ac:dyDescent="0.25">
      <c r="A42" s="1592"/>
      <c r="B42" s="772"/>
      <c r="C42" s="771"/>
      <c r="D42" s="2285"/>
      <c r="E42" s="1912"/>
      <c r="F42" s="1912"/>
      <c r="G42" s="1938"/>
      <c r="H42" s="1651"/>
      <c r="J42" s="942"/>
    </row>
    <row r="43" spans="1:10" s="12" customFormat="1" ht="62.4" x14ac:dyDescent="0.25">
      <c r="A43" s="1592" t="s">
        <v>252</v>
      </c>
      <c r="B43" s="772" t="s">
        <v>1399</v>
      </c>
      <c r="C43" s="771"/>
      <c r="D43" s="2285"/>
      <c r="E43" s="1912"/>
      <c r="F43" s="1912"/>
      <c r="G43" s="1938"/>
      <c r="H43" s="1651"/>
      <c r="J43" s="942"/>
    </row>
    <row r="44" spans="1:10" s="12" customFormat="1" ht="15.6" x14ac:dyDescent="0.25">
      <c r="A44" s="1592"/>
      <c r="B44" s="826" t="s">
        <v>61</v>
      </c>
      <c r="C44" s="771">
        <v>1</v>
      </c>
      <c r="D44" s="2285" t="s">
        <v>78</v>
      </c>
      <c r="E44" s="1912">
        <f>2500+350</f>
        <v>2850</v>
      </c>
      <c r="F44" s="1912">
        <f>+$I$1</f>
        <v>0.75</v>
      </c>
      <c r="G44" s="1881">
        <f>ROUNDUP(E44/F44,-1)</f>
        <v>3800</v>
      </c>
      <c r="H44" s="1665">
        <f>+G44*C44</f>
        <v>3800</v>
      </c>
      <c r="J44" s="942"/>
    </row>
    <row r="45" spans="1:10" s="12" customFormat="1" ht="15.6" x14ac:dyDescent="0.25">
      <c r="A45" s="1592"/>
      <c r="B45" s="826" t="s">
        <v>2505</v>
      </c>
      <c r="C45" s="771">
        <v>3</v>
      </c>
      <c r="D45" s="2285" t="s">
        <v>78</v>
      </c>
      <c r="E45" s="1912">
        <f>+E44</f>
        <v>2850</v>
      </c>
      <c r="F45" s="1912">
        <f t="shared" ref="F45:F47" si="3">+$I$1</f>
        <v>0.75</v>
      </c>
      <c r="G45" s="1881">
        <f>ROUNDUP(E45/F45,-1)</f>
        <v>3800</v>
      </c>
      <c r="H45" s="1665">
        <f>+G45*C45</f>
        <v>11400</v>
      </c>
      <c r="J45" s="942"/>
    </row>
    <row r="46" spans="1:10" s="12" customFormat="1" ht="15.6" x14ac:dyDescent="0.25">
      <c r="A46" s="1592"/>
      <c r="B46" s="826" t="s">
        <v>2499</v>
      </c>
      <c r="C46" s="771">
        <v>3</v>
      </c>
      <c r="D46" s="2285" t="s">
        <v>78</v>
      </c>
      <c r="E46" s="1912">
        <f>+E44</f>
        <v>2850</v>
      </c>
      <c r="F46" s="1912">
        <f t="shared" si="3"/>
        <v>0.75</v>
      </c>
      <c r="G46" s="1881">
        <f>ROUNDUP(E46/F46,-1)</f>
        <v>3800</v>
      </c>
      <c r="H46" s="1665">
        <f>+G46*C46</f>
        <v>11400</v>
      </c>
      <c r="J46" s="942"/>
    </row>
    <row r="47" spans="1:10" s="12" customFormat="1" ht="15.6" x14ac:dyDescent="0.25">
      <c r="A47" s="1592"/>
      <c r="B47" s="826" t="s">
        <v>2457</v>
      </c>
      <c r="C47" s="771">
        <v>1</v>
      </c>
      <c r="D47" s="2285" t="s">
        <v>78</v>
      </c>
      <c r="E47" s="1912">
        <f>+E44</f>
        <v>2850</v>
      </c>
      <c r="F47" s="1912">
        <f t="shared" si="3"/>
        <v>0.75</v>
      </c>
      <c r="G47" s="2348">
        <f>ROUNDUP(E47/F47,-1)</f>
        <v>3800</v>
      </c>
      <c r="H47" s="2349">
        <f>+G47*C47</f>
        <v>3800</v>
      </c>
      <c r="J47" s="942"/>
    </row>
    <row r="48" spans="1:10" s="12" customFormat="1" ht="15.6" x14ac:dyDescent="0.25">
      <c r="A48" s="1592"/>
      <c r="B48" s="826"/>
      <c r="C48" s="771"/>
      <c r="D48" s="2276"/>
      <c r="E48" s="1912"/>
      <c r="F48" s="1912"/>
      <c r="G48" s="1881"/>
      <c r="H48" s="1665"/>
      <c r="J48" s="942"/>
    </row>
    <row r="49" spans="1:10" s="12" customFormat="1" ht="16.2" thickBot="1" x14ac:dyDescent="0.3">
      <c r="A49" s="1609"/>
      <c r="B49" s="1663"/>
      <c r="C49" s="1610"/>
      <c r="D49" s="774"/>
      <c r="E49" s="1913"/>
      <c r="F49" s="1913"/>
      <c r="G49" s="1939"/>
      <c r="H49" s="1611"/>
      <c r="J49" s="942"/>
    </row>
    <row r="50" spans="1:10" s="12" customFormat="1" ht="46.8" x14ac:dyDescent="0.25">
      <c r="A50" s="1590" t="s">
        <v>253</v>
      </c>
      <c r="B50" s="2301" t="s">
        <v>1400</v>
      </c>
      <c r="C50" s="2302"/>
      <c r="D50" s="329"/>
      <c r="E50" s="2303"/>
      <c r="F50" s="2303"/>
      <c r="G50" s="2304"/>
      <c r="H50" s="2305"/>
      <c r="J50" s="942"/>
    </row>
    <row r="51" spans="1:10" s="12" customFormat="1" ht="15.6" x14ac:dyDescent="0.25">
      <c r="A51" s="1592"/>
      <c r="B51" s="826" t="s">
        <v>61</v>
      </c>
      <c r="C51" s="771">
        <v>1</v>
      </c>
      <c r="D51" s="2285" t="s">
        <v>78</v>
      </c>
      <c r="E51" s="1912">
        <f>3000+350</f>
        <v>3350</v>
      </c>
      <c r="F51" s="1912">
        <f t="shared" ref="F51:F54" si="4">+$I$1</f>
        <v>0.75</v>
      </c>
      <c r="G51" s="2647">
        <f>ROUNDUP(E51/F51,-1)</f>
        <v>4470</v>
      </c>
      <c r="H51" s="2648">
        <f>+G51*C51</f>
        <v>4470</v>
      </c>
      <c r="J51" s="942"/>
    </row>
    <row r="52" spans="1:10" s="12" customFormat="1" ht="15.6" x14ac:dyDescent="0.25">
      <c r="A52" s="1592"/>
      <c r="B52" s="826" t="s">
        <v>2505</v>
      </c>
      <c r="C52" s="771">
        <v>3</v>
      </c>
      <c r="D52" s="2285" t="s">
        <v>78</v>
      </c>
      <c r="E52" s="1912">
        <f>+E51</f>
        <v>3350</v>
      </c>
      <c r="F52" s="1912">
        <f t="shared" si="4"/>
        <v>0.75</v>
      </c>
      <c r="G52" s="1881">
        <f>ROUNDUP(E52/F52,-1)</f>
        <v>4470</v>
      </c>
      <c r="H52" s="1665">
        <f>+G52*C52</f>
        <v>13410</v>
      </c>
      <c r="J52" s="942"/>
    </row>
    <row r="53" spans="1:10" s="12" customFormat="1" ht="15.6" x14ac:dyDescent="0.25">
      <c r="A53" s="1592"/>
      <c r="B53" s="826" t="s">
        <v>2499</v>
      </c>
      <c r="C53" s="771">
        <v>3</v>
      </c>
      <c r="D53" s="2285" t="s">
        <v>78</v>
      </c>
      <c r="E53" s="1912">
        <f>+E51</f>
        <v>3350</v>
      </c>
      <c r="F53" s="1912">
        <f t="shared" si="4"/>
        <v>0.75</v>
      </c>
      <c r="G53" s="1881">
        <f>ROUNDUP(E53/F53,-1)</f>
        <v>4470</v>
      </c>
      <c r="H53" s="1665">
        <f>+G53*C53</f>
        <v>13410</v>
      </c>
      <c r="J53" s="942"/>
    </row>
    <row r="54" spans="1:10" s="12" customFormat="1" ht="15.6" x14ac:dyDescent="0.25">
      <c r="A54" s="1592"/>
      <c r="B54" s="826" t="s">
        <v>2457</v>
      </c>
      <c r="C54" s="771">
        <v>1</v>
      </c>
      <c r="D54" s="2285" t="s">
        <v>78</v>
      </c>
      <c r="E54" s="1912">
        <f>+E51</f>
        <v>3350</v>
      </c>
      <c r="F54" s="1912">
        <f t="shared" si="4"/>
        <v>0.75</v>
      </c>
      <c r="G54" s="1881">
        <f>ROUNDUP(E54/F54,-1)</f>
        <v>4470</v>
      </c>
      <c r="H54" s="1665">
        <f>+G54*C54</f>
        <v>4470</v>
      </c>
      <c r="J54" s="942"/>
    </row>
    <row r="55" spans="1:10" s="12" customFormat="1" ht="15.6" x14ac:dyDescent="0.25">
      <c r="A55" s="1592"/>
      <c r="B55" s="826"/>
      <c r="C55" s="771"/>
      <c r="D55" s="2285"/>
      <c r="E55" s="1912"/>
      <c r="F55" s="1912"/>
      <c r="G55" s="1881"/>
      <c r="H55" s="1665"/>
      <c r="J55" s="942"/>
    </row>
    <row r="56" spans="1:10" s="12" customFormat="1" ht="15.6" x14ac:dyDescent="0.25">
      <c r="A56" s="1592"/>
      <c r="B56" s="772"/>
      <c r="C56" s="771"/>
      <c r="D56" s="2285"/>
      <c r="E56" s="1912"/>
      <c r="F56" s="1912"/>
      <c r="G56" s="1938"/>
      <c r="H56" s="1651"/>
      <c r="J56" s="942"/>
    </row>
    <row r="57" spans="1:10" s="12" customFormat="1" ht="46.8" x14ac:dyDescent="0.25">
      <c r="A57" s="1592" t="s">
        <v>254</v>
      </c>
      <c r="B57" s="772" t="s">
        <v>2361</v>
      </c>
      <c r="C57" s="771"/>
      <c r="D57" s="2285"/>
      <c r="E57" s="1912"/>
      <c r="F57" s="1912"/>
      <c r="G57" s="1938"/>
      <c r="H57" s="1651"/>
      <c r="J57" s="942"/>
    </row>
    <row r="58" spans="1:10" s="12" customFormat="1" ht="15.6" x14ac:dyDescent="0.25">
      <c r="A58" s="1592"/>
      <c r="B58" s="826" t="s">
        <v>61</v>
      </c>
      <c r="C58" s="771">
        <v>1</v>
      </c>
      <c r="D58" s="2285" t="s">
        <v>78</v>
      </c>
      <c r="E58" s="1912">
        <f>2500+350</f>
        <v>2850</v>
      </c>
      <c r="F58" s="1912">
        <f t="shared" ref="F58:F61" si="5">+$I$1</f>
        <v>0.75</v>
      </c>
      <c r="G58" s="1881">
        <f>ROUNDUP(E58/F58,-1)</f>
        <v>3800</v>
      </c>
      <c r="H58" s="1665">
        <f>+G58*C58</f>
        <v>3800</v>
      </c>
      <c r="J58" s="942"/>
    </row>
    <row r="59" spans="1:10" s="12" customFormat="1" ht="15.6" x14ac:dyDescent="0.25">
      <c r="A59" s="1592"/>
      <c r="B59" s="826" t="s">
        <v>2505</v>
      </c>
      <c r="C59" s="771">
        <v>3</v>
      </c>
      <c r="D59" s="2285" t="s">
        <v>78</v>
      </c>
      <c r="E59" s="1912">
        <f>+E58</f>
        <v>2850</v>
      </c>
      <c r="F59" s="1912">
        <f t="shared" si="5"/>
        <v>0.75</v>
      </c>
      <c r="G59" s="1881">
        <f>ROUNDUP(E59/F59,-1)</f>
        <v>3800</v>
      </c>
      <c r="H59" s="1665">
        <f>+G59*C59</f>
        <v>11400</v>
      </c>
      <c r="J59" s="942"/>
    </row>
    <row r="60" spans="1:10" s="12" customFormat="1" ht="15.6" x14ac:dyDescent="0.25">
      <c r="A60" s="1592"/>
      <c r="B60" s="826" t="s">
        <v>2499</v>
      </c>
      <c r="C60" s="771">
        <v>3</v>
      </c>
      <c r="D60" s="2285" t="s">
        <v>78</v>
      </c>
      <c r="E60" s="1912">
        <f>+E58</f>
        <v>2850</v>
      </c>
      <c r="F60" s="1912">
        <f t="shared" si="5"/>
        <v>0.75</v>
      </c>
      <c r="G60" s="1881">
        <f>ROUNDUP(E60/F60,-1)</f>
        <v>3800</v>
      </c>
      <c r="H60" s="1665">
        <f>+G60*C60</f>
        <v>11400</v>
      </c>
      <c r="J60" s="942"/>
    </row>
    <row r="61" spans="1:10" s="12" customFormat="1" ht="15.6" x14ac:dyDescent="0.25">
      <c r="A61" s="1592"/>
      <c r="B61" s="826" t="s">
        <v>2457</v>
      </c>
      <c r="C61" s="771">
        <v>1</v>
      </c>
      <c r="D61" s="2285" t="s">
        <v>78</v>
      </c>
      <c r="E61" s="1912">
        <f>+E58</f>
        <v>2850</v>
      </c>
      <c r="F61" s="1912">
        <f t="shared" si="5"/>
        <v>0.75</v>
      </c>
      <c r="G61" s="1881">
        <f>ROUNDUP(E61/F61,-1)</f>
        <v>3800</v>
      </c>
      <c r="H61" s="1665">
        <f>+G61*C61</f>
        <v>3800</v>
      </c>
      <c r="J61" s="942"/>
    </row>
    <row r="62" spans="1:10" s="12" customFormat="1" ht="15.6" x14ac:dyDescent="0.25">
      <c r="A62" s="1592"/>
      <c r="B62" s="826"/>
      <c r="C62" s="771"/>
      <c r="D62" s="2285"/>
      <c r="E62" s="1912"/>
      <c r="F62" s="1912"/>
      <c r="G62" s="1881"/>
      <c r="H62" s="1665"/>
      <c r="J62" s="942"/>
    </row>
    <row r="63" spans="1:10" s="12" customFormat="1" ht="46.8" x14ac:dyDescent="0.25">
      <c r="A63" s="1592" t="s">
        <v>255</v>
      </c>
      <c r="B63" s="847" t="s">
        <v>2362</v>
      </c>
      <c r="C63" s="771"/>
      <c r="D63" s="2285"/>
      <c r="E63" s="1912"/>
      <c r="F63" s="1912"/>
      <c r="G63" s="1938"/>
      <c r="H63" s="1651"/>
      <c r="J63" s="942"/>
    </row>
    <row r="64" spans="1:10" s="12" customFormat="1" ht="15.6" x14ac:dyDescent="0.25">
      <c r="A64" s="1592"/>
      <c r="B64" s="826" t="s">
        <v>61</v>
      </c>
      <c r="C64" s="771">
        <v>1</v>
      </c>
      <c r="D64" s="2285" t="s">
        <v>78</v>
      </c>
      <c r="E64" s="1912">
        <f>4000+700</f>
        <v>4700</v>
      </c>
      <c r="F64" s="1912">
        <f t="shared" ref="F64:F67" si="6">+$I$1</f>
        <v>0.75</v>
      </c>
      <c r="G64" s="1881">
        <f>ROUNDUP(E64/F64,-1)</f>
        <v>6270</v>
      </c>
      <c r="H64" s="1665">
        <f>+G64*C64</f>
        <v>6270</v>
      </c>
      <c r="J64" s="942"/>
    </row>
    <row r="65" spans="1:10" s="12" customFormat="1" ht="15.6" x14ac:dyDescent="0.25">
      <c r="A65" s="1592"/>
      <c r="B65" s="826" t="s">
        <v>2505</v>
      </c>
      <c r="C65" s="771">
        <v>3</v>
      </c>
      <c r="D65" s="2285" t="s">
        <v>78</v>
      </c>
      <c r="E65" s="1912">
        <f>+E64</f>
        <v>4700</v>
      </c>
      <c r="F65" s="1912">
        <f t="shared" si="6"/>
        <v>0.75</v>
      </c>
      <c r="G65" s="1881">
        <f>ROUNDUP(E65/F65,-1)</f>
        <v>6270</v>
      </c>
      <c r="H65" s="1665">
        <f>+G65*C65</f>
        <v>18810</v>
      </c>
      <c r="J65" s="942"/>
    </row>
    <row r="66" spans="1:10" s="12" customFormat="1" ht="15.6" x14ac:dyDescent="0.25">
      <c r="A66" s="1592"/>
      <c r="B66" s="826" t="s">
        <v>2499</v>
      </c>
      <c r="C66" s="771">
        <v>3</v>
      </c>
      <c r="D66" s="2285" t="s">
        <v>78</v>
      </c>
      <c r="E66" s="1912">
        <f>+E64</f>
        <v>4700</v>
      </c>
      <c r="F66" s="1912">
        <f t="shared" si="6"/>
        <v>0.75</v>
      </c>
      <c r="G66" s="1881">
        <f>ROUNDUP(E66/F66,-1)</f>
        <v>6270</v>
      </c>
      <c r="H66" s="1665">
        <f>+G66*C66</f>
        <v>18810</v>
      </c>
      <c r="J66" s="942"/>
    </row>
    <row r="67" spans="1:10" s="12" customFormat="1" ht="15.6" x14ac:dyDescent="0.25">
      <c r="A67" s="1592"/>
      <c r="B67" s="826" t="s">
        <v>2457</v>
      </c>
      <c r="C67" s="771">
        <v>1</v>
      </c>
      <c r="D67" s="2285" t="s">
        <v>78</v>
      </c>
      <c r="E67" s="1912">
        <f>+E64</f>
        <v>4700</v>
      </c>
      <c r="F67" s="1912">
        <f t="shared" si="6"/>
        <v>0.75</v>
      </c>
      <c r="G67" s="1881">
        <f>ROUNDUP(E67/F67,-1)</f>
        <v>6270</v>
      </c>
      <c r="H67" s="1665">
        <f>+G67*C67</f>
        <v>6270</v>
      </c>
      <c r="J67" s="942"/>
    </row>
    <row r="68" spans="1:10" s="12" customFormat="1" ht="15.6" x14ac:dyDescent="0.25">
      <c r="A68" s="1592"/>
      <c r="B68" s="826"/>
      <c r="C68" s="771"/>
      <c r="D68" s="2285"/>
      <c r="E68" s="1912"/>
      <c r="F68" s="1912"/>
      <c r="G68" s="1881"/>
      <c r="H68" s="1665"/>
      <c r="J68" s="942"/>
    </row>
    <row r="69" spans="1:10" s="12" customFormat="1" ht="15.6" x14ac:dyDescent="0.25">
      <c r="A69" s="1592"/>
      <c r="B69" s="772"/>
      <c r="C69" s="771"/>
      <c r="D69" s="2285"/>
      <c r="E69" s="1912"/>
      <c r="F69" s="1912"/>
      <c r="G69" s="1938"/>
      <c r="H69" s="1651"/>
      <c r="J69" s="942"/>
    </row>
    <row r="70" spans="1:10" s="12" customFormat="1" ht="46.8" x14ac:dyDescent="0.25">
      <c r="A70" s="1592" t="s">
        <v>256</v>
      </c>
      <c r="B70" s="772" t="s">
        <v>2363</v>
      </c>
      <c r="C70" s="771"/>
      <c r="D70" s="2285"/>
      <c r="E70" s="1912"/>
      <c r="F70" s="1912"/>
      <c r="G70" s="1938"/>
      <c r="H70" s="1651"/>
      <c r="J70" s="942"/>
    </row>
    <row r="71" spans="1:10" s="12" customFormat="1" ht="15.6" x14ac:dyDescent="0.25">
      <c r="A71" s="1592"/>
      <c r="B71" s="826" t="s">
        <v>61</v>
      </c>
      <c r="C71" s="771">
        <v>1</v>
      </c>
      <c r="D71" s="2285" t="s">
        <v>78</v>
      </c>
      <c r="E71" s="1912">
        <f>5000+600</f>
        <v>5600</v>
      </c>
      <c r="F71" s="1912">
        <f t="shared" ref="F71:F74" si="7">+$I$1</f>
        <v>0.75</v>
      </c>
      <c r="G71" s="1881">
        <f>ROUNDUP(E71/F71,-1)</f>
        <v>7470</v>
      </c>
      <c r="H71" s="1665">
        <f>+G71*C71</f>
        <v>7470</v>
      </c>
      <c r="J71" s="942"/>
    </row>
    <row r="72" spans="1:10" s="12" customFormat="1" ht="15.6" x14ac:dyDescent="0.25">
      <c r="A72" s="1592"/>
      <c r="B72" s="826" t="s">
        <v>2505</v>
      </c>
      <c r="C72" s="771">
        <v>3</v>
      </c>
      <c r="D72" s="2285" t="s">
        <v>78</v>
      </c>
      <c r="E72" s="1912">
        <f t="shared" ref="E72:E73" si="8">5000+600</f>
        <v>5600</v>
      </c>
      <c r="F72" s="1912">
        <f t="shared" si="7"/>
        <v>0.75</v>
      </c>
      <c r="G72" s="1881">
        <f>ROUNDUP(E72/F72,-1)</f>
        <v>7470</v>
      </c>
      <c r="H72" s="1665">
        <f>+G72*C72</f>
        <v>22410</v>
      </c>
      <c r="J72" s="942"/>
    </row>
    <row r="73" spans="1:10" s="12" customFormat="1" ht="15.6" x14ac:dyDescent="0.25">
      <c r="A73" s="1592"/>
      <c r="B73" s="826" t="s">
        <v>2499</v>
      </c>
      <c r="C73" s="771">
        <v>3</v>
      </c>
      <c r="D73" s="2285" t="s">
        <v>78</v>
      </c>
      <c r="E73" s="1912">
        <f t="shared" si="8"/>
        <v>5600</v>
      </c>
      <c r="F73" s="1912">
        <f t="shared" si="7"/>
        <v>0.75</v>
      </c>
      <c r="G73" s="1881">
        <f>ROUNDUP(E73/F73,-1)</f>
        <v>7470</v>
      </c>
      <c r="H73" s="1665">
        <f>+G73*C73</f>
        <v>22410</v>
      </c>
      <c r="J73" s="942"/>
    </row>
    <row r="74" spans="1:10" s="12" customFormat="1" ht="15.6" x14ac:dyDescent="0.25">
      <c r="A74" s="1592"/>
      <c r="B74" s="826" t="s">
        <v>2457</v>
      </c>
      <c r="C74" s="771">
        <v>1</v>
      </c>
      <c r="D74" s="2285" t="s">
        <v>78</v>
      </c>
      <c r="E74" s="1912">
        <f>5000+600</f>
        <v>5600</v>
      </c>
      <c r="F74" s="1912">
        <f t="shared" si="7"/>
        <v>0.75</v>
      </c>
      <c r="G74" s="1881">
        <f>ROUNDUP(E74/F74,-1)</f>
        <v>7470</v>
      </c>
      <c r="H74" s="1665">
        <f>+G74*C74</f>
        <v>7470</v>
      </c>
      <c r="J74" s="942"/>
    </row>
    <row r="75" spans="1:10" s="12" customFormat="1" ht="15.6" x14ac:dyDescent="0.25">
      <c r="A75" s="1592"/>
      <c r="B75" s="826"/>
      <c r="C75" s="771"/>
      <c r="D75" s="2285"/>
      <c r="E75" s="1912"/>
      <c r="F75" s="1912"/>
      <c r="G75" s="1881"/>
      <c r="H75" s="1665"/>
      <c r="J75" s="942"/>
    </row>
    <row r="76" spans="1:10" s="12" customFormat="1" ht="15.6" x14ac:dyDescent="0.25">
      <c r="A76" s="1592"/>
      <c r="B76" s="772"/>
      <c r="C76" s="771"/>
      <c r="D76" s="2285"/>
      <c r="E76" s="1912"/>
      <c r="F76" s="1912"/>
      <c r="G76" s="1938"/>
      <c r="H76" s="1651"/>
      <c r="J76" s="942"/>
    </row>
    <row r="77" spans="1:10" s="12" customFormat="1" ht="62.4" x14ac:dyDescent="0.25">
      <c r="A77" s="1592" t="s">
        <v>257</v>
      </c>
      <c r="B77" s="772" t="s">
        <v>1401</v>
      </c>
      <c r="C77" s="771"/>
      <c r="D77" s="2285"/>
      <c r="E77" s="1912"/>
      <c r="F77" s="1912"/>
      <c r="G77" s="1938"/>
      <c r="H77" s="1651"/>
      <c r="J77" s="942"/>
    </row>
    <row r="78" spans="1:10" s="12" customFormat="1" ht="15.6" x14ac:dyDescent="0.25">
      <c r="A78" s="1592"/>
      <c r="B78" s="826" t="s">
        <v>61</v>
      </c>
      <c r="C78" s="771">
        <v>1</v>
      </c>
      <c r="D78" s="2285" t="s">
        <v>78</v>
      </c>
      <c r="E78" s="1912">
        <f>6000+550</f>
        <v>6550</v>
      </c>
      <c r="F78" s="1912">
        <f t="shared" ref="F78:F81" si="9">+$I$1</f>
        <v>0.75</v>
      </c>
      <c r="G78" s="1881">
        <f>ROUNDUP(E78/F78,-1)</f>
        <v>8740</v>
      </c>
      <c r="H78" s="1665">
        <f>+G78*C78</f>
        <v>8740</v>
      </c>
      <c r="J78" s="942"/>
    </row>
    <row r="79" spans="1:10" s="12" customFormat="1" ht="15.6" x14ac:dyDescent="0.25">
      <c r="A79" s="1592"/>
      <c r="B79" s="826" t="s">
        <v>2505</v>
      </c>
      <c r="C79" s="771">
        <v>3</v>
      </c>
      <c r="D79" s="2285" t="s">
        <v>78</v>
      </c>
      <c r="E79" s="1912">
        <f>6000+550</f>
        <v>6550</v>
      </c>
      <c r="F79" s="1912">
        <f t="shared" si="9"/>
        <v>0.75</v>
      </c>
      <c r="G79" s="1881">
        <f>ROUNDUP(E79/F79,-1)</f>
        <v>8740</v>
      </c>
      <c r="H79" s="1665">
        <f>+G79*C79</f>
        <v>26220</v>
      </c>
      <c r="J79" s="942"/>
    </row>
    <row r="80" spans="1:10" s="12" customFormat="1" ht="15.6" x14ac:dyDescent="0.25">
      <c r="A80" s="1592"/>
      <c r="B80" s="826" t="s">
        <v>2499</v>
      </c>
      <c r="C80" s="771">
        <v>3</v>
      </c>
      <c r="D80" s="2285" t="s">
        <v>78</v>
      </c>
      <c r="E80" s="1912">
        <f>+E78</f>
        <v>6550</v>
      </c>
      <c r="F80" s="1912">
        <f t="shared" si="9"/>
        <v>0.75</v>
      </c>
      <c r="G80" s="1881">
        <f>ROUNDUP(E80/F80,-1)</f>
        <v>8740</v>
      </c>
      <c r="H80" s="1665">
        <f>+G80*C80</f>
        <v>26220</v>
      </c>
      <c r="J80" s="942"/>
    </row>
    <row r="81" spans="1:10" s="12" customFormat="1" ht="15.6" x14ac:dyDescent="0.25">
      <c r="A81" s="1592"/>
      <c r="B81" s="826" t="s">
        <v>2457</v>
      </c>
      <c r="C81" s="771">
        <v>1</v>
      </c>
      <c r="D81" s="2285" t="s">
        <v>78</v>
      </c>
      <c r="E81" s="1912">
        <f>+E78</f>
        <v>6550</v>
      </c>
      <c r="F81" s="1912">
        <f t="shared" si="9"/>
        <v>0.75</v>
      </c>
      <c r="G81" s="1881">
        <f>ROUNDUP(E81/F81,-1)</f>
        <v>8740</v>
      </c>
      <c r="H81" s="1665">
        <f>+G81*C81</f>
        <v>8740</v>
      </c>
      <c r="J81" s="942"/>
    </row>
    <row r="82" spans="1:10" s="12" customFormat="1" ht="15.6" x14ac:dyDescent="0.25">
      <c r="A82" s="1592"/>
      <c r="B82" s="826"/>
      <c r="C82" s="771"/>
      <c r="D82" s="2285"/>
      <c r="E82" s="1912"/>
      <c r="F82" s="1912"/>
      <c r="G82" s="1881"/>
      <c r="H82" s="1665"/>
      <c r="J82" s="942"/>
    </row>
    <row r="83" spans="1:10" s="12" customFormat="1" ht="46.8" x14ac:dyDescent="0.25">
      <c r="A83" s="1592" t="s">
        <v>258</v>
      </c>
      <c r="B83" s="772" t="s">
        <v>2364</v>
      </c>
      <c r="C83" s="771"/>
      <c r="D83" s="2285"/>
      <c r="E83" s="1912"/>
      <c r="F83" s="1912"/>
      <c r="G83" s="1938"/>
      <c r="H83" s="1651"/>
      <c r="J83" s="942"/>
    </row>
    <row r="84" spans="1:10" s="12" customFormat="1" ht="15.6" x14ac:dyDescent="0.25">
      <c r="A84" s="1592"/>
      <c r="B84" s="826" t="s">
        <v>61</v>
      </c>
      <c r="C84" s="771">
        <v>1</v>
      </c>
      <c r="D84" s="2285" t="s">
        <v>78</v>
      </c>
      <c r="E84" s="1912">
        <f>4000+500</f>
        <v>4500</v>
      </c>
      <c r="F84" s="1912">
        <f t="shared" ref="F84:F87" si="10">+$I$1</f>
        <v>0.75</v>
      </c>
      <c r="G84" s="1881">
        <f>ROUNDUP(E84/F84,-1)</f>
        <v>6000</v>
      </c>
      <c r="H84" s="1665">
        <f>+G84*C84</f>
        <v>6000</v>
      </c>
      <c r="J84" s="942"/>
    </row>
    <row r="85" spans="1:10" s="12" customFormat="1" ht="15.6" x14ac:dyDescent="0.25">
      <c r="A85" s="1592"/>
      <c r="B85" s="826" t="s">
        <v>2505</v>
      </c>
      <c r="C85" s="771">
        <v>3</v>
      </c>
      <c r="D85" s="2285" t="s">
        <v>78</v>
      </c>
      <c r="E85" s="1912">
        <f>+E84</f>
        <v>4500</v>
      </c>
      <c r="F85" s="1912">
        <f t="shared" si="10"/>
        <v>0.75</v>
      </c>
      <c r="G85" s="1881">
        <f>ROUNDUP(E85/F85,-1)</f>
        <v>6000</v>
      </c>
      <c r="H85" s="1665">
        <f>+G85*C85</f>
        <v>18000</v>
      </c>
      <c r="J85" s="942"/>
    </row>
    <row r="86" spans="1:10" s="12" customFormat="1" ht="15.6" x14ac:dyDescent="0.25">
      <c r="A86" s="1592"/>
      <c r="B86" s="826" t="s">
        <v>2499</v>
      </c>
      <c r="C86" s="771">
        <v>3</v>
      </c>
      <c r="D86" s="2285" t="s">
        <v>78</v>
      </c>
      <c r="E86" s="1912">
        <f>+E84</f>
        <v>4500</v>
      </c>
      <c r="F86" s="1912">
        <f t="shared" si="10"/>
        <v>0.75</v>
      </c>
      <c r="G86" s="1881">
        <f>ROUNDUP(E86/F86,-1)</f>
        <v>6000</v>
      </c>
      <c r="H86" s="1665">
        <f>+G86*C86</f>
        <v>18000</v>
      </c>
      <c r="J86" s="942"/>
    </row>
    <row r="87" spans="1:10" s="12" customFormat="1" ht="15.6" x14ac:dyDescent="0.25">
      <c r="A87" s="1592"/>
      <c r="B87" s="826" t="s">
        <v>2457</v>
      </c>
      <c r="C87" s="771">
        <v>1</v>
      </c>
      <c r="D87" s="2285" t="s">
        <v>78</v>
      </c>
      <c r="E87" s="1912">
        <f>+E84</f>
        <v>4500</v>
      </c>
      <c r="F87" s="1912">
        <f t="shared" si="10"/>
        <v>0.75</v>
      </c>
      <c r="G87" s="1881">
        <f>ROUNDUP(E87/F87,-1)</f>
        <v>6000</v>
      </c>
      <c r="H87" s="1665">
        <f>+G87*C87</f>
        <v>6000</v>
      </c>
      <c r="J87" s="942"/>
    </row>
    <row r="88" spans="1:10" s="12" customFormat="1" ht="15.6" x14ac:dyDescent="0.25">
      <c r="A88" s="1592"/>
      <c r="B88" s="826"/>
      <c r="C88" s="771"/>
      <c r="D88" s="2285"/>
      <c r="E88" s="1912"/>
      <c r="F88" s="1912"/>
      <c r="G88" s="1881"/>
      <c r="H88" s="1665"/>
      <c r="J88" s="942"/>
    </row>
    <row r="89" spans="1:10" s="12" customFormat="1" ht="16.2" thickBot="1" x14ac:dyDescent="0.3">
      <c r="A89" s="1609"/>
      <c r="B89" s="1663"/>
      <c r="C89" s="1610"/>
      <c r="D89" s="774"/>
      <c r="E89" s="1913"/>
      <c r="F89" s="1913"/>
      <c r="G89" s="1939"/>
      <c r="H89" s="1611"/>
      <c r="J89" s="942"/>
    </row>
    <row r="90" spans="1:10" s="12" customFormat="1" ht="15.6" x14ac:dyDescent="0.25">
      <c r="A90" s="1590"/>
      <c r="B90" s="320" t="s">
        <v>921</v>
      </c>
      <c r="C90" s="2302"/>
      <c r="D90" s="329"/>
      <c r="E90" s="2303"/>
      <c r="F90" s="2303"/>
      <c r="G90" s="2304"/>
      <c r="H90" s="2305"/>
      <c r="J90" s="942"/>
    </row>
    <row r="91" spans="1:10" s="12" customFormat="1" ht="46.8" x14ac:dyDescent="0.25">
      <c r="A91" s="1592" t="s">
        <v>259</v>
      </c>
      <c r="B91" s="847" t="s">
        <v>2365</v>
      </c>
      <c r="C91" s="771"/>
      <c r="D91" s="2285"/>
      <c r="E91" s="1912"/>
      <c r="F91" s="1912"/>
      <c r="G91" s="1938"/>
      <c r="H91" s="1651"/>
      <c r="J91" s="942"/>
    </row>
    <row r="92" spans="1:10" s="12" customFormat="1" ht="15.6" x14ac:dyDescent="0.25">
      <c r="A92" s="1592"/>
      <c r="B92" s="826" t="s">
        <v>61</v>
      </c>
      <c r="C92" s="771">
        <v>1</v>
      </c>
      <c r="D92" s="2285" t="s">
        <v>78</v>
      </c>
      <c r="E92" s="1912">
        <f>3000+500</f>
        <v>3500</v>
      </c>
      <c r="F92" s="1912">
        <f t="shared" ref="F92:F95" si="11">+$I$1</f>
        <v>0.75</v>
      </c>
      <c r="G92" s="1881">
        <f>ROUNDUP(E92/F92,-1)</f>
        <v>4670</v>
      </c>
      <c r="H92" s="1665">
        <f>+G92*C92</f>
        <v>4670</v>
      </c>
      <c r="J92" s="942"/>
    </row>
    <row r="93" spans="1:10" s="12" customFormat="1" ht="15.6" x14ac:dyDescent="0.25">
      <c r="A93" s="1592"/>
      <c r="B93" s="826" t="s">
        <v>2505</v>
      </c>
      <c r="C93" s="771">
        <v>3</v>
      </c>
      <c r="D93" s="2285" t="s">
        <v>78</v>
      </c>
      <c r="E93" s="1912">
        <f>+E92</f>
        <v>3500</v>
      </c>
      <c r="F93" s="1912">
        <f t="shared" si="11"/>
        <v>0.75</v>
      </c>
      <c r="G93" s="1881">
        <f>ROUNDUP(E93/F93,-1)</f>
        <v>4670</v>
      </c>
      <c r="H93" s="1665">
        <f>+G93*C93</f>
        <v>14010</v>
      </c>
      <c r="J93" s="942"/>
    </row>
    <row r="94" spans="1:10" s="12" customFormat="1" ht="15.6" x14ac:dyDescent="0.25">
      <c r="A94" s="1592"/>
      <c r="B94" s="826" t="s">
        <v>2499</v>
      </c>
      <c r="C94" s="771">
        <v>3</v>
      </c>
      <c r="D94" s="2285" t="s">
        <v>78</v>
      </c>
      <c r="E94" s="1912">
        <f>+E92</f>
        <v>3500</v>
      </c>
      <c r="F94" s="1912">
        <f t="shared" si="11"/>
        <v>0.75</v>
      </c>
      <c r="G94" s="1881">
        <f>ROUNDUP(E94/F94,-1)</f>
        <v>4670</v>
      </c>
      <c r="H94" s="1665">
        <f>+G94*C94</f>
        <v>14010</v>
      </c>
      <c r="J94" s="942"/>
    </row>
    <row r="95" spans="1:10" s="12" customFormat="1" ht="15.6" x14ac:dyDescent="0.25">
      <c r="A95" s="1592"/>
      <c r="B95" s="826" t="s">
        <v>2457</v>
      </c>
      <c r="C95" s="771">
        <v>1</v>
      </c>
      <c r="D95" s="2285" t="s">
        <v>78</v>
      </c>
      <c r="E95" s="1912">
        <f>+E92</f>
        <v>3500</v>
      </c>
      <c r="F95" s="1912">
        <f t="shared" si="11"/>
        <v>0.75</v>
      </c>
      <c r="G95" s="1881">
        <f>ROUNDUP(E95/F95,-1)</f>
        <v>4670</v>
      </c>
      <c r="H95" s="1665">
        <f>+G95*C95</f>
        <v>4670</v>
      </c>
      <c r="J95" s="942"/>
    </row>
    <row r="96" spans="1:10" s="12" customFormat="1" ht="15.6" x14ac:dyDescent="0.25">
      <c r="A96" s="1592"/>
      <c r="B96" s="826"/>
      <c r="C96" s="771"/>
      <c r="D96" s="2285"/>
      <c r="E96" s="1912"/>
      <c r="F96" s="1912"/>
      <c r="G96" s="1881"/>
      <c r="H96" s="1665"/>
      <c r="J96" s="942"/>
    </row>
    <row r="97" spans="1:10" s="12" customFormat="1" ht="15.6" x14ac:dyDescent="0.25">
      <c r="A97" s="1592"/>
      <c r="B97" s="772"/>
      <c r="C97" s="771"/>
      <c r="D97" s="2285"/>
      <c r="E97" s="1912"/>
      <c r="F97" s="1912"/>
      <c r="G97" s="1938"/>
      <c r="H97" s="1651"/>
      <c r="J97" s="942"/>
    </row>
    <row r="98" spans="1:10" s="12" customFormat="1" ht="51" customHeight="1" x14ac:dyDescent="0.25">
      <c r="A98" s="1592" t="s">
        <v>260</v>
      </c>
      <c r="B98" s="772" t="s">
        <v>2366</v>
      </c>
      <c r="C98" s="771"/>
      <c r="D98" s="2285"/>
      <c r="E98" s="1912"/>
      <c r="F98" s="1912"/>
      <c r="G98" s="1938"/>
      <c r="H98" s="1651"/>
      <c r="J98" s="942"/>
    </row>
    <row r="99" spans="1:10" s="12" customFormat="1" ht="15.6" x14ac:dyDescent="0.25">
      <c r="A99" s="1592"/>
      <c r="B99" s="826" t="s">
        <v>61</v>
      </c>
      <c r="C99" s="771">
        <v>1</v>
      </c>
      <c r="D99" s="2285" t="s">
        <v>78</v>
      </c>
      <c r="E99" s="1912">
        <f>3000+500</f>
        <v>3500</v>
      </c>
      <c r="F99" s="1912">
        <f t="shared" ref="F99:F102" si="12">+$I$1</f>
        <v>0.75</v>
      </c>
      <c r="G99" s="1881">
        <f>ROUNDUP(E99/F99,-1)</f>
        <v>4670</v>
      </c>
      <c r="H99" s="1665">
        <f>+G99*C99</f>
        <v>4670</v>
      </c>
      <c r="J99" s="942"/>
    </row>
    <row r="100" spans="1:10" s="12" customFormat="1" ht="15.6" x14ac:dyDescent="0.25">
      <c r="A100" s="1592"/>
      <c r="B100" s="826" t="s">
        <v>2505</v>
      </c>
      <c r="C100" s="771">
        <v>3</v>
      </c>
      <c r="D100" s="2285" t="s">
        <v>78</v>
      </c>
      <c r="E100" s="1912">
        <f>3000+500</f>
        <v>3500</v>
      </c>
      <c r="F100" s="1912">
        <f t="shared" si="12"/>
        <v>0.75</v>
      </c>
      <c r="G100" s="1881">
        <f>ROUNDUP(E100/F100,-1)</f>
        <v>4670</v>
      </c>
      <c r="H100" s="1665">
        <f>+G100*C100</f>
        <v>14010</v>
      </c>
      <c r="J100" s="942"/>
    </row>
    <row r="101" spans="1:10" s="12" customFormat="1" ht="15.6" x14ac:dyDescent="0.25">
      <c r="A101" s="1592"/>
      <c r="B101" s="826" t="s">
        <v>2499</v>
      </c>
      <c r="C101" s="771">
        <v>3</v>
      </c>
      <c r="D101" s="2285" t="s">
        <v>78</v>
      </c>
      <c r="E101" s="1912">
        <f>3000+500</f>
        <v>3500</v>
      </c>
      <c r="F101" s="1912">
        <f t="shared" si="12"/>
        <v>0.75</v>
      </c>
      <c r="G101" s="1881">
        <f>ROUNDUP(E101/F101,-1)</f>
        <v>4670</v>
      </c>
      <c r="H101" s="1665">
        <f>+G101*C101</f>
        <v>14010</v>
      </c>
      <c r="J101" s="942"/>
    </row>
    <row r="102" spans="1:10" s="12" customFormat="1" ht="15.6" x14ac:dyDescent="0.25">
      <c r="A102" s="1592"/>
      <c r="B102" s="826" t="s">
        <v>2457</v>
      </c>
      <c r="C102" s="771">
        <v>1</v>
      </c>
      <c r="D102" s="2285" t="s">
        <v>78</v>
      </c>
      <c r="E102" s="1912">
        <f>3000+500</f>
        <v>3500</v>
      </c>
      <c r="F102" s="1912">
        <f t="shared" si="12"/>
        <v>0.75</v>
      </c>
      <c r="G102" s="1881">
        <f>ROUNDUP(E102/F102,-1)</f>
        <v>4670</v>
      </c>
      <c r="H102" s="1665">
        <f>+G102*C102</f>
        <v>4670</v>
      </c>
      <c r="J102" s="942"/>
    </row>
    <row r="103" spans="1:10" s="12" customFormat="1" ht="15.6" x14ac:dyDescent="0.25">
      <c r="A103" s="1592"/>
      <c r="B103" s="826"/>
      <c r="C103" s="771"/>
      <c r="D103" s="2285"/>
      <c r="E103" s="1912"/>
      <c r="F103" s="1912"/>
      <c r="G103" s="1881"/>
      <c r="H103" s="1665"/>
      <c r="J103" s="942"/>
    </row>
    <row r="104" spans="1:10" s="12" customFormat="1" ht="15.6" x14ac:dyDescent="0.25">
      <c r="A104" s="1592"/>
      <c r="B104" s="772"/>
      <c r="C104" s="771"/>
      <c r="D104" s="2285"/>
      <c r="E104" s="1912"/>
      <c r="F104" s="1912"/>
      <c r="G104" s="1938"/>
      <c r="H104" s="1651"/>
      <c r="J104" s="942"/>
    </row>
    <row r="105" spans="1:10" s="12" customFormat="1" ht="78" x14ac:dyDescent="0.25">
      <c r="A105" s="1592" t="s">
        <v>261</v>
      </c>
      <c r="B105" s="772" t="s">
        <v>2694</v>
      </c>
      <c r="C105" s="771"/>
      <c r="D105" s="2285"/>
      <c r="E105" s="1912"/>
      <c r="F105" s="1912"/>
      <c r="G105" s="1938"/>
      <c r="H105" s="1651"/>
      <c r="J105" s="942"/>
    </row>
    <row r="106" spans="1:10" s="12" customFormat="1" ht="15.6" x14ac:dyDescent="0.25">
      <c r="A106" s="1592"/>
      <c r="B106" s="826" t="s">
        <v>61</v>
      </c>
      <c r="C106" s="771">
        <v>1</v>
      </c>
      <c r="D106" s="2285" t="s">
        <v>78</v>
      </c>
      <c r="E106" s="1912">
        <f>5000+700</f>
        <v>5700</v>
      </c>
      <c r="F106" s="1912">
        <f t="shared" ref="F106:F109" si="13">+$I$1</f>
        <v>0.75</v>
      </c>
      <c r="G106" s="1881">
        <f>ROUNDUP(E106/F106,-1)</f>
        <v>7600</v>
      </c>
      <c r="H106" s="1665">
        <f>+G106*C106</f>
        <v>7600</v>
      </c>
      <c r="J106" s="942"/>
    </row>
    <row r="107" spans="1:10" s="12" customFormat="1" ht="15.6" x14ac:dyDescent="0.25">
      <c r="A107" s="1592"/>
      <c r="B107" s="826" t="s">
        <v>2505</v>
      </c>
      <c r="C107" s="771">
        <v>3</v>
      </c>
      <c r="D107" s="2285" t="s">
        <v>78</v>
      </c>
      <c r="E107" s="1912">
        <f>+E106</f>
        <v>5700</v>
      </c>
      <c r="F107" s="1912">
        <f t="shared" si="13"/>
        <v>0.75</v>
      </c>
      <c r="G107" s="1881">
        <f>ROUNDUP(E107/F107,-1)</f>
        <v>7600</v>
      </c>
      <c r="H107" s="1665">
        <f>+G107*C107</f>
        <v>22800</v>
      </c>
      <c r="J107" s="942"/>
    </row>
    <row r="108" spans="1:10" s="12" customFormat="1" ht="15.6" x14ac:dyDescent="0.25">
      <c r="A108" s="1592"/>
      <c r="B108" s="826" t="s">
        <v>2499</v>
      </c>
      <c r="C108" s="771">
        <v>3</v>
      </c>
      <c r="D108" s="2285" t="s">
        <v>78</v>
      </c>
      <c r="E108" s="1912">
        <f>+E106</f>
        <v>5700</v>
      </c>
      <c r="F108" s="1912">
        <f t="shared" si="13"/>
        <v>0.75</v>
      </c>
      <c r="G108" s="1881">
        <f>ROUNDUP(E108/F108,-1)</f>
        <v>7600</v>
      </c>
      <c r="H108" s="1665">
        <f>+G108*C108</f>
        <v>22800</v>
      </c>
      <c r="J108" s="942"/>
    </row>
    <row r="109" spans="1:10" s="12" customFormat="1" ht="15.6" x14ac:dyDescent="0.25">
      <c r="A109" s="1592"/>
      <c r="B109" s="826" t="s">
        <v>2457</v>
      </c>
      <c r="C109" s="771">
        <v>1</v>
      </c>
      <c r="D109" s="2285" t="s">
        <v>78</v>
      </c>
      <c r="E109" s="1912">
        <f>+E106</f>
        <v>5700</v>
      </c>
      <c r="F109" s="1912">
        <f t="shared" si="13"/>
        <v>0.75</v>
      </c>
      <c r="G109" s="1881">
        <f>ROUNDUP(E109/F109,-1)</f>
        <v>7600</v>
      </c>
      <c r="H109" s="1665">
        <f>+G109*C109</f>
        <v>7600</v>
      </c>
      <c r="J109" s="942"/>
    </row>
    <row r="110" spans="1:10" s="12" customFormat="1" ht="15.6" x14ac:dyDescent="0.25">
      <c r="A110" s="1592"/>
      <c r="B110" s="826"/>
      <c r="C110" s="771"/>
      <c r="D110" s="2285"/>
      <c r="E110" s="1912"/>
      <c r="F110" s="1912"/>
      <c r="G110" s="1938"/>
      <c r="H110" s="1651"/>
      <c r="J110" s="942"/>
    </row>
    <row r="111" spans="1:10" s="12" customFormat="1" ht="46.8" x14ac:dyDescent="0.25">
      <c r="A111" s="1592" t="s">
        <v>920</v>
      </c>
      <c r="B111" s="772" t="s">
        <v>1402</v>
      </c>
      <c r="C111" s="771"/>
      <c r="D111" s="2285"/>
      <c r="E111" s="1912"/>
      <c r="F111" s="1912"/>
      <c r="G111" s="1938"/>
      <c r="H111" s="1651"/>
      <c r="J111" s="942"/>
    </row>
    <row r="112" spans="1:10" s="12" customFormat="1" ht="15.6" x14ac:dyDescent="0.25">
      <c r="A112" s="1592"/>
      <c r="B112" s="826" t="s">
        <v>61</v>
      </c>
      <c r="C112" s="771">
        <v>1</v>
      </c>
      <c r="D112" s="2285" t="s">
        <v>78</v>
      </c>
      <c r="E112" s="1912">
        <f>3000+450</f>
        <v>3450</v>
      </c>
      <c r="F112" s="1912">
        <f t="shared" ref="F112:F115" si="14">+$I$1</f>
        <v>0.75</v>
      </c>
      <c r="G112" s="1881">
        <f>ROUNDUP(E112/F112,-1)</f>
        <v>4600</v>
      </c>
      <c r="H112" s="1665">
        <f>+G112*C112</f>
        <v>4600</v>
      </c>
      <c r="J112" s="942"/>
    </row>
    <row r="113" spans="1:10" s="12" customFormat="1" ht="15.6" x14ac:dyDescent="0.25">
      <c r="A113" s="1592"/>
      <c r="B113" s="826" t="s">
        <v>2505</v>
      </c>
      <c r="C113" s="771">
        <v>3</v>
      </c>
      <c r="D113" s="2285" t="s">
        <v>78</v>
      </c>
      <c r="E113" s="1912">
        <f>+E112</f>
        <v>3450</v>
      </c>
      <c r="F113" s="1912">
        <f t="shared" si="14"/>
        <v>0.75</v>
      </c>
      <c r="G113" s="1881">
        <f>ROUNDUP(E113/F113,-1)</f>
        <v>4600</v>
      </c>
      <c r="H113" s="1665">
        <f>+G113*C113</f>
        <v>13800</v>
      </c>
      <c r="J113" s="942"/>
    </row>
    <row r="114" spans="1:10" s="12" customFormat="1" ht="15.6" x14ac:dyDescent="0.25">
      <c r="A114" s="1592"/>
      <c r="B114" s="826" t="s">
        <v>2499</v>
      </c>
      <c r="C114" s="771">
        <v>3</v>
      </c>
      <c r="D114" s="2285" t="s">
        <v>78</v>
      </c>
      <c r="E114" s="1912">
        <f>+E112</f>
        <v>3450</v>
      </c>
      <c r="F114" s="1912">
        <f t="shared" si="14"/>
        <v>0.75</v>
      </c>
      <c r="G114" s="1881">
        <f>ROUNDUP(E114/F114,-1)</f>
        <v>4600</v>
      </c>
      <c r="H114" s="1665">
        <f>+G114*C114</f>
        <v>13800</v>
      </c>
      <c r="J114" s="942"/>
    </row>
    <row r="115" spans="1:10" s="12" customFormat="1" ht="15.6" x14ac:dyDescent="0.25">
      <c r="A115" s="1592"/>
      <c r="B115" s="826" t="s">
        <v>2457</v>
      </c>
      <c r="C115" s="771">
        <v>1</v>
      </c>
      <c r="D115" s="2285" t="s">
        <v>78</v>
      </c>
      <c r="E115" s="1912">
        <f>+E112</f>
        <v>3450</v>
      </c>
      <c r="F115" s="1912">
        <f t="shared" si="14"/>
        <v>0.75</v>
      </c>
      <c r="G115" s="1881">
        <f>ROUNDUP(E115/F115,-1)</f>
        <v>4600</v>
      </c>
      <c r="H115" s="1665">
        <f>+G115*C115</f>
        <v>4600</v>
      </c>
      <c r="J115" s="942"/>
    </row>
    <row r="116" spans="1:10" s="12" customFormat="1" ht="15.6" x14ac:dyDescent="0.25">
      <c r="A116" s="1592"/>
      <c r="B116" s="772"/>
      <c r="C116" s="771"/>
      <c r="D116" s="2285"/>
      <c r="E116" s="1912"/>
      <c r="F116" s="1912"/>
      <c r="G116" s="1938"/>
      <c r="H116" s="1651"/>
      <c r="J116" s="942"/>
    </row>
    <row r="117" spans="1:10" s="12" customFormat="1" ht="46.8" x14ac:dyDescent="0.25">
      <c r="A117" s="1592" t="s">
        <v>922</v>
      </c>
      <c r="B117" s="772" t="s">
        <v>2368</v>
      </c>
      <c r="C117" s="771">
        <v>1</v>
      </c>
      <c r="D117" s="2285" t="s">
        <v>78</v>
      </c>
      <c r="E117" s="1912">
        <f>5047+650</f>
        <v>5697</v>
      </c>
      <c r="F117" s="1912">
        <f t="shared" ref="F117" si="15">+$I$1</f>
        <v>0.75</v>
      </c>
      <c r="G117" s="2348">
        <f>ROUNDUP(E117/F117,-1)</f>
        <v>7600</v>
      </c>
      <c r="H117" s="2349">
        <f>+G117*C117</f>
        <v>7600</v>
      </c>
      <c r="J117" s="942"/>
    </row>
    <row r="118" spans="1:10" s="12" customFormat="1" ht="15.6" x14ac:dyDescent="0.25">
      <c r="A118" s="1592"/>
      <c r="B118" s="772"/>
      <c r="C118" s="771"/>
      <c r="D118" s="2276"/>
      <c r="E118" s="1912"/>
      <c r="F118" s="1912"/>
      <c r="G118" s="1938"/>
      <c r="H118" s="1651"/>
      <c r="J118" s="942"/>
    </row>
    <row r="119" spans="1:10" s="12" customFormat="1" ht="16.2" thickBot="1" x14ac:dyDescent="0.3">
      <c r="A119" s="1609"/>
      <c r="B119" s="1663"/>
      <c r="C119" s="1610"/>
      <c r="D119" s="774"/>
      <c r="E119" s="1913"/>
      <c r="F119" s="1913"/>
      <c r="G119" s="1939"/>
      <c r="H119" s="1611"/>
      <c r="J119" s="942"/>
    </row>
    <row r="120" spans="1:10" s="12" customFormat="1" ht="16.2" hidden="1" thickBot="1" x14ac:dyDescent="0.3">
      <c r="A120" s="298"/>
      <c r="B120" s="311" t="s">
        <v>262</v>
      </c>
      <c r="C120" s="771"/>
      <c r="D120" s="2276"/>
      <c r="E120" s="1912"/>
      <c r="F120" s="1912"/>
      <c r="G120" s="1938"/>
      <c r="H120" s="2276"/>
      <c r="J120" s="942"/>
    </row>
    <row r="121" spans="1:10" s="12" customFormat="1" ht="16.2" hidden="1" thickBot="1" x14ac:dyDescent="0.3">
      <c r="A121" s="298"/>
      <c r="B121" s="772" t="s">
        <v>2369</v>
      </c>
      <c r="C121" s="771"/>
      <c r="D121" s="2276"/>
      <c r="E121" s="1912"/>
      <c r="F121" s="1912"/>
      <c r="G121" s="1938"/>
      <c r="H121" s="2276"/>
      <c r="J121" s="942"/>
    </row>
    <row r="122" spans="1:10" s="12" customFormat="1" ht="16.2" hidden="1" thickBot="1" x14ac:dyDescent="0.3">
      <c r="A122" s="298" t="s">
        <v>929</v>
      </c>
      <c r="B122" s="772" t="s">
        <v>2370</v>
      </c>
      <c r="C122" s="771"/>
      <c r="D122" s="2276" t="s">
        <v>78</v>
      </c>
      <c r="E122" s="1912"/>
      <c r="F122" s="1912"/>
      <c r="G122" s="1938"/>
      <c r="H122" s="2276"/>
      <c r="J122" s="942"/>
    </row>
    <row r="123" spans="1:10" s="12" customFormat="1" ht="16.2" hidden="1" thickBot="1" x14ac:dyDescent="0.3">
      <c r="A123" s="298"/>
      <c r="B123" s="772"/>
      <c r="C123" s="771"/>
      <c r="D123" s="2276"/>
      <c r="E123" s="1912"/>
      <c r="F123" s="1912"/>
      <c r="G123" s="1938"/>
      <c r="H123" s="2276"/>
      <c r="J123" s="942"/>
    </row>
    <row r="124" spans="1:10" s="12" customFormat="1" ht="16.2" hidden="1" thickBot="1" x14ac:dyDescent="0.3">
      <c r="A124" s="298" t="s">
        <v>930</v>
      </c>
      <c r="B124" s="772" t="s">
        <v>2371</v>
      </c>
      <c r="C124" s="771"/>
      <c r="D124" s="2276" t="s">
        <v>78</v>
      </c>
      <c r="E124" s="1912"/>
      <c r="F124" s="1912"/>
      <c r="G124" s="1938"/>
      <c r="H124" s="2276"/>
      <c r="J124" s="942"/>
    </row>
    <row r="125" spans="1:10" s="12" customFormat="1" ht="16.2" hidden="1" thickBot="1" x14ac:dyDescent="0.3">
      <c r="A125" s="298"/>
      <c r="B125" s="772"/>
      <c r="C125" s="771"/>
      <c r="D125" s="2276"/>
      <c r="E125" s="1912"/>
      <c r="F125" s="1912"/>
      <c r="G125" s="1938"/>
      <c r="H125" s="2276"/>
      <c r="J125" s="942"/>
    </row>
    <row r="126" spans="1:10" s="12" customFormat="1" ht="16.2" hidden="1" thickBot="1" x14ac:dyDescent="0.3">
      <c r="A126" s="298"/>
      <c r="B126" s="311" t="s">
        <v>2372</v>
      </c>
      <c r="C126" s="771"/>
      <c r="D126" s="2276"/>
      <c r="E126" s="1912"/>
      <c r="F126" s="1912"/>
      <c r="G126" s="1938"/>
      <c r="H126" s="2276"/>
      <c r="J126" s="942"/>
    </row>
    <row r="127" spans="1:10" s="12" customFormat="1" ht="16.2" hidden="1" thickBot="1" x14ac:dyDescent="0.3">
      <c r="A127" s="298" t="s">
        <v>931</v>
      </c>
      <c r="B127" s="772" t="s">
        <v>2373</v>
      </c>
      <c r="C127" s="771"/>
      <c r="D127" s="2276" t="s">
        <v>78</v>
      </c>
      <c r="E127" s="1912"/>
      <c r="F127" s="1912"/>
      <c r="G127" s="1938"/>
      <c r="H127" s="2276"/>
      <c r="J127" s="942"/>
    </row>
    <row r="128" spans="1:10" s="12" customFormat="1" ht="16.2" hidden="1" thickBot="1" x14ac:dyDescent="0.3">
      <c r="A128" s="298"/>
      <c r="B128" s="772"/>
      <c r="C128" s="771"/>
      <c r="D128" s="2276"/>
      <c r="E128" s="1912"/>
      <c r="F128" s="1912"/>
      <c r="G128" s="1938"/>
      <c r="H128" s="2276"/>
      <c r="J128" s="942"/>
    </row>
    <row r="129" spans="1:10" s="12" customFormat="1" ht="15.6" x14ac:dyDescent="0.25">
      <c r="A129" s="1590"/>
      <c r="B129" s="320" t="s">
        <v>278</v>
      </c>
      <c r="C129" s="2302"/>
      <c r="D129" s="329"/>
      <c r="E129" s="2303"/>
      <c r="F129" s="2303"/>
      <c r="G129" s="2304"/>
      <c r="H129" s="2305"/>
      <c r="J129" s="942"/>
    </row>
    <row r="130" spans="1:10" s="12" customFormat="1" ht="31.2" x14ac:dyDescent="0.25">
      <c r="A130" s="1592"/>
      <c r="B130" s="327" t="s">
        <v>950</v>
      </c>
      <c r="C130" s="771"/>
      <c r="D130" s="2285"/>
      <c r="E130" s="1912"/>
      <c r="F130" s="1912"/>
      <c r="G130" s="1938"/>
      <c r="H130" s="1651"/>
      <c r="J130" s="942"/>
    </row>
    <row r="131" spans="1:10" s="12" customFormat="1" ht="15.6" x14ac:dyDescent="0.25">
      <c r="A131" s="1592"/>
      <c r="B131" s="327"/>
      <c r="C131" s="771"/>
      <c r="D131" s="2285"/>
      <c r="E131" s="1912"/>
      <c r="F131" s="1912"/>
      <c r="G131" s="1938"/>
      <c r="H131" s="1651"/>
      <c r="J131" s="942"/>
    </row>
    <row r="132" spans="1:10" s="12" customFormat="1" ht="31.2" x14ac:dyDescent="0.25">
      <c r="A132" s="1592"/>
      <c r="B132" s="327" t="s">
        <v>951</v>
      </c>
      <c r="C132" s="771"/>
      <c r="D132" s="2285"/>
      <c r="E132" s="1912"/>
      <c r="F132" s="1912"/>
      <c r="G132" s="1938"/>
      <c r="H132" s="1651"/>
      <c r="J132" s="942"/>
    </row>
    <row r="133" spans="1:10" s="12" customFormat="1" ht="15.6" x14ac:dyDescent="0.25">
      <c r="A133" s="1592"/>
      <c r="B133" s="327"/>
      <c r="C133" s="771"/>
      <c r="D133" s="2285"/>
      <c r="E133" s="1912"/>
      <c r="F133" s="1912"/>
      <c r="G133" s="1938"/>
      <c r="H133" s="1651"/>
      <c r="J133" s="942"/>
    </row>
    <row r="134" spans="1:10" s="12" customFormat="1" ht="46.8" x14ac:dyDescent="0.25">
      <c r="A134" s="1592"/>
      <c r="B134" s="327" t="s">
        <v>952</v>
      </c>
      <c r="C134" s="771"/>
      <c r="D134" s="2285"/>
      <c r="E134" s="1912"/>
      <c r="F134" s="1912"/>
      <c r="G134" s="1938"/>
      <c r="H134" s="1651"/>
      <c r="J134" s="942"/>
    </row>
    <row r="135" spans="1:10" s="12" customFormat="1" ht="62.4" x14ac:dyDescent="0.25">
      <c r="A135" s="1592" t="s">
        <v>2701</v>
      </c>
      <c r="B135" s="772" t="s">
        <v>1403</v>
      </c>
      <c r="C135" s="771">
        <v>1</v>
      </c>
      <c r="D135" s="2285" t="s">
        <v>78</v>
      </c>
      <c r="E135" s="1912">
        <f>95000+32000</f>
        <v>127000</v>
      </c>
      <c r="F135" s="1912">
        <f t="shared" ref="F135" si="16">+$I$1</f>
        <v>0.75</v>
      </c>
      <c r="G135" s="1881">
        <f>ROUNDUP(E135/F135,-1)</f>
        <v>169340</v>
      </c>
      <c r="H135" s="1665">
        <f>+G135*C135</f>
        <v>169340</v>
      </c>
      <c r="J135" s="942"/>
    </row>
    <row r="136" spans="1:10" s="12" customFormat="1" ht="15.6" x14ac:dyDescent="0.25">
      <c r="A136" s="1592"/>
      <c r="B136" s="772"/>
      <c r="C136" s="771"/>
      <c r="D136" s="2285"/>
      <c r="E136" s="1912"/>
      <c r="F136" s="1912"/>
      <c r="G136" s="1938"/>
      <c r="H136" s="1651"/>
      <c r="J136" s="942"/>
    </row>
    <row r="137" spans="1:10" s="12" customFormat="1" ht="15.6" hidden="1" x14ac:dyDescent="0.25">
      <c r="A137" s="1592"/>
      <c r="B137" s="311" t="s">
        <v>932</v>
      </c>
      <c r="C137" s="771"/>
      <c r="D137" s="2285"/>
      <c r="E137" s="1912"/>
      <c r="F137" s="1912"/>
      <c r="G137" s="1938"/>
      <c r="H137" s="1651"/>
      <c r="J137" s="942"/>
    </row>
    <row r="138" spans="1:10" s="12" customFormat="1" ht="46.8" hidden="1" x14ac:dyDescent="0.25">
      <c r="A138" s="1592"/>
      <c r="B138" s="772" t="s">
        <v>2374</v>
      </c>
      <c r="C138" s="771"/>
      <c r="D138" s="2285"/>
      <c r="E138" s="1912"/>
      <c r="F138" s="1912"/>
      <c r="G138" s="1938"/>
      <c r="H138" s="1651"/>
      <c r="J138" s="942"/>
    </row>
    <row r="139" spans="1:10" s="12" customFormat="1" ht="15.6" hidden="1" x14ac:dyDescent="0.25">
      <c r="A139" s="1592"/>
      <c r="B139" s="772"/>
      <c r="C139" s="771"/>
      <c r="D139" s="2285"/>
      <c r="E139" s="1912"/>
      <c r="F139" s="1912"/>
      <c r="G139" s="1938"/>
      <c r="H139" s="1651"/>
      <c r="J139" s="942"/>
    </row>
    <row r="140" spans="1:10" s="12" customFormat="1" ht="15.6" hidden="1" x14ac:dyDescent="0.25">
      <c r="A140" s="1592"/>
      <c r="B140" s="311" t="s">
        <v>285</v>
      </c>
      <c r="C140" s="771"/>
      <c r="D140" s="2285"/>
      <c r="E140" s="1912"/>
      <c r="F140" s="1912"/>
      <c r="G140" s="1938"/>
      <c r="H140" s="1651"/>
      <c r="J140" s="942"/>
    </row>
    <row r="141" spans="1:10" s="12" customFormat="1" ht="31.2" hidden="1" x14ac:dyDescent="0.25">
      <c r="A141" s="1592" t="s">
        <v>2375</v>
      </c>
      <c r="B141" s="772" t="s">
        <v>937</v>
      </c>
      <c r="C141" s="771"/>
      <c r="D141" s="2285" t="s">
        <v>934</v>
      </c>
      <c r="E141" s="1912"/>
      <c r="F141" s="1912"/>
      <c r="G141" s="1940"/>
      <c r="H141" s="1651"/>
      <c r="J141" s="942"/>
    </row>
    <row r="142" spans="1:10" s="12" customFormat="1" ht="15.6" hidden="1" x14ac:dyDescent="0.25">
      <c r="A142" s="1592"/>
      <c r="B142" s="311"/>
      <c r="C142" s="771"/>
      <c r="D142" s="2285"/>
      <c r="E142" s="1912"/>
      <c r="F142" s="1912"/>
      <c r="G142" s="1940"/>
      <c r="H142" s="1651"/>
      <c r="J142" s="942"/>
    </row>
    <row r="143" spans="1:10" s="12" customFormat="1" ht="31.2" hidden="1" x14ac:dyDescent="0.25">
      <c r="A143" s="1592" t="s">
        <v>2376</v>
      </c>
      <c r="B143" s="772" t="s">
        <v>938</v>
      </c>
      <c r="C143" s="771"/>
      <c r="D143" s="2285" t="s">
        <v>934</v>
      </c>
      <c r="E143" s="1912"/>
      <c r="F143" s="1912"/>
      <c r="G143" s="1940"/>
      <c r="H143" s="1651"/>
      <c r="J143" s="942"/>
    </row>
    <row r="144" spans="1:10" s="12" customFormat="1" ht="15.6" hidden="1" x14ac:dyDescent="0.25">
      <c r="A144" s="1592"/>
      <c r="B144" s="311"/>
      <c r="C144" s="771"/>
      <c r="D144" s="2285"/>
      <c r="E144" s="1912"/>
      <c r="F144" s="1912"/>
      <c r="G144" s="1940"/>
      <c r="H144" s="1651"/>
      <c r="J144" s="942"/>
    </row>
    <row r="145" spans="1:10" s="12" customFormat="1" ht="31.2" hidden="1" x14ac:dyDescent="0.25">
      <c r="A145" s="1592" t="s">
        <v>2377</v>
      </c>
      <c r="B145" s="772" t="s">
        <v>939</v>
      </c>
      <c r="C145" s="771"/>
      <c r="D145" s="2285" t="s">
        <v>934</v>
      </c>
      <c r="E145" s="1912"/>
      <c r="F145" s="1912"/>
      <c r="G145" s="1940"/>
      <c r="H145" s="1651"/>
      <c r="J145" s="942"/>
    </row>
    <row r="146" spans="1:10" s="12" customFormat="1" ht="15.6" hidden="1" x14ac:dyDescent="0.25">
      <c r="A146" s="1592"/>
      <c r="B146" s="311"/>
      <c r="C146" s="771"/>
      <c r="D146" s="2285"/>
      <c r="E146" s="1912"/>
      <c r="F146" s="1912"/>
      <c r="G146" s="1940"/>
      <c r="H146" s="1651"/>
      <c r="J146" s="942"/>
    </row>
    <row r="147" spans="1:10" s="12" customFormat="1" ht="31.2" hidden="1" x14ac:dyDescent="0.25">
      <c r="A147" s="1592" t="s">
        <v>2378</v>
      </c>
      <c r="B147" s="772" t="s">
        <v>940</v>
      </c>
      <c r="C147" s="771"/>
      <c r="D147" s="2285" t="s">
        <v>934</v>
      </c>
      <c r="E147" s="1912"/>
      <c r="F147" s="1912"/>
      <c r="G147" s="1940"/>
      <c r="H147" s="1651"/>
      <c r="J147" s="942"/>
    </row>
    <row r="148" spans="1:10" s="12" customFormat="1" ht="15.6" hidden="1" x14ac:dyDescent="0.25">
      <c r="A148" s="1592"/>
      <c r="B148" s="772"/>
      <c r="C148" s="771"/>
      <c r="D148" s="2285"/>
      <c r="E148" s="1912"/>
      <c r="F148" s="1912"/>
      <c r="G148" s="1940"/>
      <c r="H148" s="1651"/>
      <c r="J148" s="942"/>
    </row>
    <row r="149" spans="1:10" s="12" customFormat="1" ht="31.2" hidden="1" x14ac:dyDescent="0.25">
      <c r="A149" s="1592" t="s">
        <v>2379</v>
      </c>
      <c r="B149" s="772" t="s">
        <v>941</v>
      </c>
      <c r="C149" s="771"/>
      <c r="D149" s="2285" t="s">
        <v>934</v>
      </c>
      <c r="E149" s="1912"/>
      <c r="F149" s="1912"/>
      <c r="G149" s="1940"/>
      <c r="H149" s="1651"/>
      <c r="J149" s="942"/>
    </row>
    <row r="150" spans="1:10" s="12" customFormat="1" ht="15.6" hidden="1" x14ac:dyDescent="0.25">
      <c r="A150" s="1592"/>
      <c r="B150" s="311"/>
      <c r="C150" s="771"/>
      <c r="D150" s="2285"/>
      <c r="E150" s="1912"/>
      <c r="F150" s="1912"/>
      <c r="G150" s="1940"/>
      <c r="H150" s="1651"/>
      <c r="J150" s="942"/>
    </row>
    <row r="151" spans="1:10" s="12" customFormat="1" ht="31.2" hidden="1" x14ac:dyDescent="0.25">
      <c r="A151" s="1592" t="s">
        <v>2380</v>
      </c>
      <c r="B151" s="772" t="s">
        <v>942</v>
      </c>
      <c r="C151" s="771"/>
      <c r="D151" s="2285" t="s">
        <v>934</v>
      </c>
      <c r="E151" s="1912"/>
      <c r="F151" s="1912"/>
      <c r="G151" s="1940"/>
      <c r="H151" s="1651"/>
      <c r="J151" s="942"/>
    </row>
    <row r="152" spans="1:10" s="12" customFormat="1" ht="15.6" hidden="1" x14ac:dyDescent="0.25">
      <c r="A152" s="1592"/>
      <c r="B152" s="311"/>
      <c r="C152" s="771"/>
      <c r="D152" s="2285"/>
      <c r="E152" s="1912"/>
      <c r="F152" s="1912"/>
      <c r="G152" s="1940"/>
      <c r="H152" s="1651"/>
      <c r="J152" s="942"/>
    </row>
    <row r="153" spans="1:10" s="12" customFormat="1" ht="15.6" hidden="1" x14ac:dyDescent="0.25">
      <c r="A153" s="1592"/>
      <c r="B153" s="311" t="s">
        <v>935</v>
      </c>
      <c r="C153" s="771"/>
      <c r="D153" s="2285"/>
      <c r="E153" s="1912"/>
      <c r="F153" s="1912"/>
      <c r="G153" s="1940"/>
      <c r="H153" s="1651"/>
      <c r="J153" s="942"/>
    </row>
    <row r="154" spans="1:10" s="12" customFormat="1" ht="15.6" hidden="1" x14ac:dyDescent="0.25">
      <c r="A154" s="1592" t="s">
        <v>2381</v>
      </c>
      <c r="B154" s="772" t="s">
        <v>943</v>
      </c>
      <c r="C154" s="771"/>
      <c r="D154" s="2285" t="s">
        <v>167</v>
      </c>
      <c r="E154" s="1912"/>
      <c r="F154" s="1912"/>
      <c r="G154" s="1940"/>
      <c r="H154" s="1651"/>
      <c r="J154" s="942"/>
    </row>
    <row r="155" spans="1:10" s="12" customFormat="1" ht="15.6" hidden="1" x14ac:dyDescent="0.25">
      <c r="A155" s="1592"/>
      <c r="B155" s="311"/>
      <c r="C155" s="771"/>
      <c r="D155" s="2285"/>
      <c r="E155" s="1912"/>
      <c r="F155" s="1912"/>
      <c r="G155" s="1940"/>
      <c r="H155" s="1651"/>
      <c r="J155" s="942"/>
    </row>
    <row r="156" spans="1:10" s="12" customFormat="1" ht="15.6" hidden="1" x14ac:dyDescent="0.25">
      <c r="A156" s="1592" t="s">
        <v>2382</v>
      </c>
      <c r="B156" s="772" t="s">
        <v>944</v>
      </c>
      <c r="C156" s="771"/>
      <c r="D156" s="2285" t="s">
        <v>167</v>
      </c>
      <c r="E156" s="1912"/>
      <c r="F156" s="1912"/>
      <c r="G156" s="1940"/>
      <c r="H156" s="1651"/>
      <c r="J156" s="942"/>
    </row>
    <row r="157" spans="1:10" s="12" customFormat="1" ht="15.6" hidden="1" x14ac:dyDescent="0.25">
      <c r="A157" s="1592"/>
      <c r="B157" s="311"/>
      <c r="C157" s="771"/>
      <c r="D157" s="2285"/>
      <c r="E157" s="1912"/>
      <c r="F157" s="1912"/>
      <c r="G157" s="1940"/>
      <c r="H157" s="1651"/>
      <c r="J157" s="942"/>
    </row>
    <row r="158" spans="1:10" s="12" customFormat="1" ht="15.6" hidden="1" x14ac:dyDescent="0.25">
      <c r="A158" s="1592" t="s">
        <v>2383</v>
      </c>
      <c r="B158" s="772" t="s">
        <v>945</v>
      </c>
      <c r="C158" s="771"/>
      <c r="D158" s="2285" t="s">
        <v>167</v>
      </c>
      <c r="E158" s="1912"/>
      <c r="F158" s="1912"/>
      <c r="G158" s="1940"/>
      <c r="H158" s="1651"/>
      <c r="J158" s="942"/>
    </row>
    <row r="159" spans="1:10" s="12" customFormat="1" ht="15.6" hidden="1" x14ac:dyDescent="0.25">
      <c r="A159" s="1592"/>
      <c r="B159" s="772"/>
      <c r="C159" s="771"/>
      <c r="D159" s="2285"/>
      <c r="E159" s="1912"/>
      <c r="F159" s="1912"/>
      <c r="G159" s="1940"/>
      <c r="H159" s="1651"/>
      <c r="J159" s="942"/>
    </row>
    <row r="160" spans="1:10" s="12" customFormat="1" ht="15.6" hidden="1" x14ac:dyDescent="0.25">
      <c r="A160" s="1592"/>
      <c r="B160" s="311" t="s">
        <v>290</v>
      </c>
      <c r="C160" s="771"/>
      <c r="D160" s="2285"/>
      <c r="E160" s="1912"/>
      <c r="F160" s="1912"/>
      <c r="G160" s="1940"/>
      <c r="H160" s="1651"/>
      <c r="J160" s="942"/>
    </row>
    <row r="161" spans="1:10" s="12" customFormat="1" ht="46.8" hidden="1" x14ac:dyDescent="0.25">
      <c r="A161" s="1592" t="s">
        <v>2384</v>
      </c>
      <c r="B161" s="772" t="s">
        <v>2385</v>
      </c>
      <c r="C161" s="771"/>
      <c r="D161" s="2285" t="s">
        <v>934</v>
      </c>
      <c r="E161" s="1912"/>
      <c r="F161" s="1912"/>
      <c r="G161" s="1940"/>
      <c r="H161" s="1651"/>
      <c r="J161" s="942"/>
    </row>
    <row r="162" spans="1:10" s="12" customFormat="1" ht="15.6" hidden="1" x14ac:dyDescent="0.25">
      <c r="A162" s="1592"/>
      <c r="B162" s="311"/>
      <c r="C162" s="771"/>
      <c r="D162" s="2285"/>
      <c r="E162" s="1912"/>
      <c r="F162" s="1912"/>
      <c r="G162" s="1940"/>
      <c r="H162" s="1651"/>
      <c r="J162" s="942"/>
    </row>
    <row r="163" spans="1:10" s="12" customFormat="1" ht="46.8" hidden="1" x14ac:dyDescent="0.25">
      <c r="A163" s="1592" t="s">
        <v>2384</v>
      </c>
      <c r="B163" s="772" t="s">
        <v>2386</v>
      </c>
      <c r="C163" s="771"/>
      <c r="D163" s="2285" t="s">
        <v>934</v>
      </c>
      <c r="E163" s="1912"/>
      <c r="F163" s="1912"/>
      <c r="G163" s="1940"/>
      <c r="H163" s="1651"/>
      <c r="J163" s="942"/>
    </row>
    <row r="164" spans="1:10" s="12" customFormat="1" ht="15.6" hidden="1" x14ac:dyDescent="0.25">
      <c r="A164" s="1592"/>
      <c r="B164" s="311"/>
      <c r="C164" s="771"/>
      <c r="D164" s="2285"/>
      <c r="E164" s="1912"/>
      <c r="F164" s="1912"/>
      <c r="G164" s="1940"/>
      <c r="H164" s="1651"/>
      <c r="J164" s="942"/>
    </row>
    <row r="165" spans="1:10" s="12" customFormat="1" ht="31.2" hidden="1" x14ac:dyDescent="0.25">
      <c r="A165" s="1592" t="s">
        <v>2387</v>
      </c>
      <c r="B165" s="772" t="s">
        <v>2388</v>
      </c>
      <c r="C165" s="771"/>
      <c r="D165" s="2285" t="s">
        <v>2389</v>
      </c>
      <c r="E165" s="1912"/>
      <c r="F165" s="1912"/>
      <c r="G165" s="1940"/>
      <c r="H165" s="1651"/>
      <c r="J165" s="942"/>
    </row>
    <row r="166" spans="1:10" s="12" customFormat="1" ht="15.6" hidden="1" x14ac:dyDescent="0.25">
      <c r="A166" s="1592"/>
      <c r="B166" s="311"/>
      <c r="C166" s="771"/>
      <c r="D166" s="2285"/>
      <c r="E166" s="1912"/>
      <c r="F166" s="1912"/>
      <c r="G166" s="1940"/>
      <c r="H166" s="1651"/>
      <c r="J166" s="942"/>
    </row>
    <row r="167" spans="1:10" s="12" customFormat="1" ht="31.2" hidden="1" x14ac:dyDescent="0.25">
      <c r="A167" s="1592" t="s">
        <v>2390</v>
      </c>
      <c r="B167" s="772" t="s">
        <v>2391</v>
      </c>
      <c r="C167" s="771"/>
      <c r="D167" s="2285" t="s">
        <v>2389</v>
      </c>
      <c r="E167" s="1912"/>
      <c r="F167" s="1912"/>
      <c r="G167" s="1940"/>
      <c r="H167" s="1651"/>
      <c r="J167" s="942"/>
    </row>
    <row r="168" spans="1:10" s="12" customFormat="1" ht="15.6" hidden="1" x14ac:dyDescent="0.25">
      <c r="A168" s="1592"/>
      <c r="B168" s="311"/>
      <c r="C168" s="771"/>
      <c r="D168" s="2285"/>
      <c r="E168" s="1912"/>
      <c r="F168" s="1912"/>
      <c r="G168" s="1940"/>
      <c r="H168" s="1651"/>
      <c r="J168" s="942"/>
    </row>
    <row r="169" spans="1:10" s="12" customFormat="1" ht="46.8" hidden="1" x14ac:dyDescent="0.25">
      <c r="A169" s="1592" t="s">
        <v>2392</v>
      </c>
      <c r="B169" s="772" t="s">
        <v>947</v>
      </c>
      <c r="C169" s="771"/>
      <c r="D169" s="2285" t="s">
        <v>934</v>
      </c>
      <c r="E169" s="1912"/>
      <c r="F169" s="1912"/>
      <c r="G169" s="1940"/>
      <c r="H169" s="1651"/>
      <c r="J169" s="942"/>
    </row>
    <row r="170" spans="1:10" s="12" customFormat="1" ht="15.6" hidden="1" x14ac:dyDescent="0.25">
      <c r="A170" s="1592"/>
      <c r="B170" s="311"/>
      <c r="C170" s="771"/>
      <c r="D170" s="2285"/>
      <c r="E170" s="1912"/>
      <c r="F170" s="1912"/>
      <c r="G170" s="1940"/>
      <c r="H170" s="1651"/>
      <c r="J170" s="942"/>
    </row>
    <row r="171" spans="1:10" s="12" customFormat="1" x14ac:dyDescent="0.25">
      <c r="A171" s="1592"/>
      <c r="B171" s="302" t="s">
        <v>154</v>
      </c>
      <c r="C171" s="830"/>
      <c r="D171" s="831"/>
      <c r="E171" s="1912"/>
      <c r="F171" s="1912"/>
      <c r="G171" s="1933"/>
      <c r="H171" s="1612"/>
      <c r="J171" s="942"/>
    </row>
    <row r="172" spans="1:10" s="12" customFormat="1" ht="15.6" x14ac:dyDescent="0.25">
      <c r="A172" s="1594" t="s">
        <v>2702</v>
      </c>
      <c r="B172" s="772" t="s">
        <v>294</v>
      </c>
      <c r="C172" s="830">
        <v>1</v>
      </c>
      <c r="D172" s="831" t="s">
        <v>13</v>
      </c>
      <c r="E172" s="1912">
        <f>7*5000</f>
        <v>35000</v>
      </c>
      <c r="F172" s="1912">
        <f t="shared" ref="F172" si="17">+$I$1</f>
        <v>0.75</v>
      </c>
      <c r="G172" s="1881">
        <f>ROUNDUP(E172/F172,-1)</f>
        <v>46670</v>
      </c>
      <c r="H172" s="1665">
        <f>+G172*C172</f>
        <v>46670</v>
      </c>
      <c r="J172" s="942"/>
    </row>
    <row r="173" spans="1:10" s="12" customFormat="1" ht="15.6" x14ac:dyDescent="0.25">
      <c r="A173" s="1594"/>
      <c r="B173" s="772"/>
      <c r="C173" s="830"/>
      <c r="D173" s="831"/>
      <c r="E173" s="1912"/>
      <c r="F173" s="1912"/>
      <c r="G173" s="1933"/>
      <c r="H173" s="1612"/>
      <c r="J173" s="942"/>
    </row>
    <row r="174" spans="1:10" s="12" customFormat="1" ht="15.6" x14ac:dyDescent="0.25">
      <c r="A174" s="1594" t="s">
        <v>2703</v>
      </c>
      <c r="B174" s="772" t="s">
        <v>1142</v>
      </c>
      <c r="C174" s="830">
        <v>1</v>
      </c>
      <c r="D174" s="831" t="s">
        <v>13</v>
      </c>
      <c r="E174" s="1912">
        <v>30000</v>
      </c>
      <c r="F174" s="1912">
        <f t="shared" ref="F174" si="18">+$I$1</f>
        <v>0.75</v>
      </c>
      <c r="G174" s="1881">
        <f>ROUNDUP(E174/F174,-1)</f>
        <v>40000</v>
      </c>
      <c r="H174" s="1665">
        <f>+G174*C174</f>
        <v>40000</v>
      </c>
      <c r="J174" s="942"/>
    </row>
    <row r="175" spans="1:10" s="12" customFormat="1" x14ac:dyDescent="0.25">
      <c r="A175" s="1594"/>
      <c r="B175" s="307"/>
      <c r="C175" s="830"/>
      <c r="D175" s="831"/>
      <c r="E175" s="1912"/>
      <c r="F175" s="1912"/>
      <c r="G175" s="1933"/>
      <c r="H175" s="1612"/>
      <c r="J175" s="942"/>
    </row>
    <row r="176" spans="1:10" s="12" customFormat="1" x14ac:dyDescent="0.25">
      <c r="A176" s="1594"/>
      <c r="B176" s="309" t="s">
        <v>2393</v>
      </c>
      <c r="C176" s="830"/>
      <c r="D176" s="831"/>
      <c r="E176" s="1912"/>
      <c r="F176" s="1912"/>
      <c r="G176" s="1933"/>
      <c r="H176" s="1612"/>
      <c r="J176" s="942"/>
    </row>
    <row r="177" spans="1:12" s="931" customFormat="1" ht="15.6" x14ac:dyDescent="0.25">
      <c r="A177" s="1595" t="s">
        <v>923</v>
      </c>
      <c r="B177" s="930" t="s">
        <v>2680</v>
      </c>
      <c r="C177" s="830">
        <v>1</v>
      </c>
      <c r="D177" s="831" t="s">
        <v>2515</v>
      </c>
      <c r="E177" s="1912">
        <v>520000</v>
      </c>
      <c r="F177" s="1912">
        <f t="shared" ref="F177:F179" si="19">+$I$1</f>
        <v>0.75</v>
      </c>
      <c r="G177" s="1881">
        <f>ROUNDUP(E177/F177,-1)</f>
        <v>693340</v>
      </c>
      <c r="H177" s="1925">
        <f>+G177*C177</f>
        <v>693340</v>
      </c>
      <c r="J177" s="943"/>
    </row>
    <row r="178" spans="1:12" s="931" customFormat="1" ht="15.6" x14ac:dyDescent="0.25">
      <c r="A178" s="1595" t="s">
        <v>925</v>
      </c>
      <c r="B178" s="930" t="s">
        <v>2681</v>
      </c>
      <c r="C178" s="830">
        <v>1</v>
      </c>
      <c r="D178" s="831" t="s">
        <v>2515</v>
      </c>
      <c r="E178" s="1912">
        <v>480000</v>
      </c>
      <c r="F178" s="1912">
        <f t="shared" si="19"/>
        <v>0.75</v>
      </c>
      <c r="G178" s="1881">
        <f t="shared" ref="G178:G179" si="20">ROUNDUP(E178/F178,-1)</f>
        <v>640000</v>
      </c>
      <c r="H178" s="1925">
        <f t="shared" ref="H178:H179" si="21">+G178*C178</f>
        <v>640000</v>
      </c>
      <c r="J178" s="943"/>
    </row>
    <row r="179" spans="1:12" s="931" customFormat="1" ht="15.6" x14ac:dyDescent="0.25">
      <c r="A179" s="1595" t="s">
        <v>926</v>
      </c>
      <c r="B179" s="930" t="s">
        <v>2682</v>
      </c>
      <c r="C179" s="830">
        <v>1</v>
      </c>
      <c r="D179" s="831" t="s">
        <v>2515</v>
      </c>
      <c r="E179" s="1912">
        <v>421000</v>
      </c>
      <c r="F179" s="1912">
        <f t="shared" si="19"/>
        <v>0.75</v>
      </c>
      <c r="G179" s="1881">
        <f t="shared" si="20"/>
        <v>561340</v>
      </c>
      <c r="H179" s="1925">
        <f t="shared" si="21"/>
        <v>561340</v>
      </c>
      <c r="J179" s="943"/>
    </row>
    <row r="180" spans="1:12" s="12" customFormat="1" x14ac:dyDescent="0.25">
      <c r="A180" s="1594"/>
      <c r="B180" s="307"/>
      <c r="C180" s="830"/>
      <c r="D180" s="831"/>
      <c r="E180" s="1912"/>
      <c r="F180" s="1912"/>
      <c r="G180" s="1933"/>
      <c r="H180" s="1612"/>
      <c r="J180" s="942"/>
    </row>
    <row r="181" spans="1:12" s="12" customFormat="1" ht="15.6" x14ac:dyDescent="0.25">
      <c r="A181" s="1592"/>
      <c r="B181" s="311" t="s">
        <v>585</v>
      </c>
      <c r="C181" s="2306"/>
      <c r="D181" s="831"/>
      <c r="E181" s="1912"/>
      <c r="F181" s="1912"/>
      <c r="G181" s="1933"/>
      <c r="H181" s="1612"/>
      <c r="J181" s="942"/>
    </row>
    <row r="182" spans="1:12" s="12" customFormat="1" ht="15.6" x14ac:dyDescent="0.25">
      <c r="A182" s="1592"/>
      <c r="B182" s="311" t="s">
        <v>948</v>
      </c>
      <c r="C182" s="771"/>
      <c r="D182" s="2285"/>
      <c r="E182" s="1912"/>
      <c r="F182" s="1912"/>
      <c r="G182" s="1938"/>
      <c r="H182" s="1651"/>
      <c r="J182" s="942"/>
    </row>
    <row r="183" spans="1:12" s="931" customFormat="1" ht="124.8" x14ac:dyDescent="0.25">
      <c r="A183" s="1613" t="s">
        <v>927</v>
      </c>
      <c r="B183" s="930" t="s">
        <v>2548</v>
      </c>
      <c r="C183" s="2306">
        <v>7</v>
      </c>
      <c r="D183" s="831" t="s">
        <v>78</v>
      </c>
      <c r="E183" s="1912">
        <v>37500</v>
      </c>
      <c r="F183" s="1912">
        <f>+$I$1</f>
        <v>0.75</v>
      </c>
      <c r="G183" s="1881">
        <f>ROUNDUP(E183/F183,-1)</f>
        <v>50000</v>
      </c>
      <c r="H183" s="1665">
        <f>+G183*C183</f>
        <v>350000</v>
      </c>
      <c r="J183" s="943"/>
    </row>
    <row r="184" spans="1:12" s="12" customFormat="1" ht="15.6" x14ac:dyDescent="0.25">
      <c r="A184" s="1592"/>
      <c r="B184" s="772"/>
      <c r="C184" s="771"/>
      <c r="D184" s="2285"/>
      <c r="E184" s="1912"/>
      <c r="F184" s="1912"/>
      <c r="G184" s="1938"/>
      <c r="H184" s="1651"/>
      <c r="J184" s="942"/>
    </row>
    <row r="185" spans="1:12" s="12" customFormat="1" ht="15.6" x14ac:dyDescent="0.25">
      <c r="A185" s="1592"/>
      <c r="B185" s="311" t="s">
        <v>2394</v>
      </c>
      <c r="C185" s="771"/>
      <c r="D185" s="2285"/>
      <c r="E185" s="1912"/>
      <c r="F185" s="1912"/>
      <c r="G185" s="1938"/>
      <c r="H185" s="1651"/>
      <c r="J185" s="942"/>
    </row>
    <row r="186" spans="1:12" s="931" customFormat="1" ht="140.4" x14ac:dyDescent="0.25">
      <c r="A186" s="1613" t="s">
        <v>928</v>
      </c>
      <c r="B186" s="930" t="s">
        <v>2549</v>
      </c>
      <c r="C186" s="2306">
        <v>6</v>
      </c>
      <c r="D186" s="831" t="s">
        <v>78</v>
      </c>
      <c r="E186" s="1912">
        <v>25500</v>
      </c>
      <c r="F186" s="1912">
        <f>+$I$1</f>
        <v>0.75</v>
      </c>
      <c r="G186" s="2348">
        <f>ROUNDUP(E186/F186,-1)</f>
        <v>34000</v>
      </c>
      <c r="H186" s="2349">
        <f>+G186*C186</f>
        <v>204000</v>
      </c>
      <c r="J186" s="943"/>
      <c r="L186" s="931">
        <f>J186+J183</f>
        <v>0</v>
      </c>
    </row>
    <row r="187" spans="1:12" s="12" customFormat="1" ht="15.6" x14ac:dyDescent="0.25">
      <c r="A187" s="1592"/>
      <c r="B187" s="311"/>
      <c r="C187" s="771"/>
      <c r="D187" s="2276"/>
      <c r="E187" s="1912"/>
      <c r="F187" s="1912"/>
      <c r="G187" s="1938"/>
      <c r="H187" s="1651"/>
      <c r="J187" s="942"/>
    </row>
    <row r="188" spans="1:12" s="12" customFormat="1" ht="15.6" hidden="1" x14ac:dyDescent="0.25">
      <c r="A188" s="1592"/>
      <c r="B188" s="311" t="s">
        <v>2396</v>
      </c>
      <c r="C188" s="771"/>
      <c r="D188" s="2276"/>
      <c r="E188" s="1912"/>
      <c r="F188" s="1912"/>
      <c r="G188" s="1938"/>
      <c r="H188" s="1651"/>
      <c r="J188" s="942"/>
    </row>
    <row r="189" spans="1:12" s="1927" customFormat="1" ht="140.4" hidden="1" x14ac:dyDescent="0.25">
      <c r="A189" s="1926" t="s">
        <v>2395</v>
      </c>
      <c r="B189" s="1941" t="s">
        <v>2397</v>
      </c>
      <c r="C189" s="1942"/>
      <c r="D189" s="1924" t="s">
        <v>78</v>
      </c>
      <c r="E189" s="1912"/>
      <c r="F189" s="1912"/>
      <c r="G189" s="1940"/>
      <c r="H189" s="1943"/>
      <c r="J189" s="1944"/>
      <c r="L189" s="1927" t="e">
        <f>J189+#REF!</f>
        <v>#REF!</v>
      </c>
    </row>
    <row r="190" spans="1:12" s="12" customFormat="1" ht="15.6" hidden="1" x14ac:dyDescent="0.25">
      <c r="A190" s="1592"/>
      <c r="B190" s="311"/>
      <c r="C190" s="771"/>
      <c r="D190" s="2276"/>
      <c r="E190" s="1912"/>
      <c r="F190" s="1912"/>
      <c r="G190" s="1938"/>
      <c r="H190" s="1651"/>
      <c r="J190" s="942"/>
    </row>
    <row r="191" spans="1:12" s="12" customFormat="1" ht="15.6" hidden="1" x14ac:dyDescent="0.25">
      <c r="A191" s="1592"/>
      <c r="B191" s="311"/>
      <c r="C191" s="771"/>
      <c r="D191" s="2276"/>
      <c r="E191" s="1912"/>
      <c r="F191" s="1912"/>
      <c r="G191" s="1938"/>
      <c r="H191" s="1651"/>
      <c r="J191" s="942"/>
    </row>
    <row r="192" spans="1:12" s="12" customFormat="1" ht="15.6" hidden="1" x14ac:dyDescent="0.25">
      <c r="A192" s="1592"/>
      <c r="B192" s="311"/>
      <c r="C192" s="771"/>
      <c r="D192" s="2276"/>
      <c r="E192" s="1912"/>
      <c r="F192" s="1912"/>
      <c r="G192" s="1938"/>
      <c r="H192" s="1651"/>
      <c r="J192" s="942"/>
    </row>
    <row r="193" spans="1:13" s="12" customFormat="1" ht="16.2" thickBot="1" x14ac:dyDescent="0.3">
      <c r="A193" s="1609"/>
      <c r="B193" s="1666"/>
      <c r="C193" s="1610"/>
      <c r="D193" s="774"/>
      <c r="E193" s="1913"/>
      <c r="F193" s="1913"/>
      <c r="G193" s="1939"/>
      <c r="H193" s="1611"/>
      <c r="J193" s="942"/>
    </row>
    <row r="194" spans="1:13" s="12" customFormat="1" ht="15.6" x14ac:dyDescent="0.25">
      <c r="A194" s="1590"/>
      <c r="B194" s="320" t="s">
        <v>949</v>
      </c>
      <c r="C194" s="2302"/>
      <c r="D194" s="329"/>
      <c r="E194" s="2303"/>
      <c r="F194" s="2303"/>
      <c r="G194" s="2304"/>
      <c r="H194" s="2305"/>
      <c r="J194" s="942"/>
    </row>
    <row r="195" spans="1:13" s="931" customFormat="1" ht="109.2" x14ac:dyDescent="0.25">
      <c r="A195" s="1613" t="s">
        <v>929</v>
      </c>
      <c r="B195" s="930" t="s">
        <v>1425</v>
      </c>
      <c r="C195" s="2306">
        <v>1</v>
      </c>
      <c r="D195" s="831" t="s">
        <v>13</v>
      </c>
      <c r="E195" s="1912">
        <f>+(11500*7)+12000+40000+18000</f>
        <v>150500</v>
      </c>
      <c r="F195" s="1912">
        <f>+$I$1</f>
        <v>0.75</v>
      </c>
      <c r="G195" s="2647">
        <f>ROUNDUP(E195/F195,-1)</f>
        <v>200670</v>
      </c>
      <c r="H195" s="2648">
        <f>+G195*C195</f>
        <v>200670</v>
      </c>
      <c r="J195" s="2307"/>
    </row>
    <row r="196" spans="1:13" s="931" customFormat="1" ht="15.6" x14ac:dyDescent="0.25">
      <c r="A196" s="1613"/>
      <c r="B196" s="930"/>
      <c r="C196" s="2306"/>
      <c r="D196" s="831"/>
      <c r="E196" s="1912"/>
      <c r="F196" s="1912"/>
      <c r="G196" s="1933"/>
      <c r="H196" s="1612"/>
      <c r="J196" s="2307"/>
    </row>
    <row r="197" spans="1:13" s="931" customFormat="1" ht="15.6" x14ac:dyDescent="0.25">
      <c r="A197" s="1613"/>
      <c r="B197" s="1664" t="s">
        <v>313</v>
      </c>
      <c r="C197" s="2306"/>
      <c r="D197" s="831"/>
      <c r="E197" s="1912"/>
      <c r="F197" s="1912"/>
      <c r="G197" s="1933"/>
      <c r="H197" s="1612"/>
      <c r="J197" s="943"/>
    </row>
    <row r="198" spans="1:13" s="931" customFormat="1" ht="62.4" x14ac:dyDescent="0.25">
      <c r="A198" s="1613" t="s">
        <v>930</v>
      </c>
      <c r="B198" s="953" t="s">
        <v>2398</v>
      </c>
      <c r="C198" s="2306">
        <v>1</v>
      </c>
      <c r="D198" s="831" t="s">
        <v>13</v>
      </c>
      <c r="E198" s="1912">
        <v>760000</v>
      </c>
      <c r="F198" s="1912">
        <f>+$I$1</f>
        <v>0.75</v>
      </c>
      <c r="G198" s="1881">
        <f>ROUNDUP(E198/F198,-1)</f>
        <v>1013340</v>
      </c>
      <c r="H198" s="1665">
        <f>+G198*C198</f>
        <v>1013340</v>
      </c>
      <c r="J198" s="943"/>
      <c r="L198" s="931">
        <f>10*4.5*8</f>
        <v>360</v>
      </c>
      <c r="M198" s="931" t="e">
        <f>G198/J198*L198</f>
        <v>#DIV/0!</v>
      </c>
    </row>
    <row r="199" spans="1:13" s="12" customFormat="1" ht="15.6" x14ac:dyDescent="0.25">
      <c r="A199" s="1592"/>
      <c r="B199" s="772"/>
      <c r="C199" s="771"/>
      <c r="D199" s="2285"/>
      <c r="E199" s="1912"/>
      <c r="F199" s="1912"/>
      <c r="G199" s="1938"/>
      <c r="H199" s="1651"/>
      <c r="J199" s="942"/>
    </row>
    <row r="200" spans="1:13" s="12" customFormat="1" ht="15.6" x14ac:dyDescent="0.25">
      <c r="A200" s="1592"/>
      <c r="B200" s="311" t="s">
        <v>1136</v>
      </c>
      <c r="C200" s="771"/>
      <c r="D200" s="2285"/>
      <c r="E200" s="1912"/>
      <c r="F200" s="1912"/>
      <c r="G200" s="1938"/>
      <c r="H200" s="1651"/>
      <c r="J200" s="942"/>
    </row>
    <row r="201" spans="1:13" s="931" customFormat="1" ht="109.2" x14ac:dyDescent="0.25">
      <c r="A201" s="1613" t="s">
        <v>931</v>
      </c>
      <c r="B201" s="930" t="s">
        <v>1391</v>
      </c>
      <c r="C201" s="2306">
        <v>2</v>
      </c>
      <c r="D201" s="831" t="s">
        <v>13</v>
      </c>
      <c r="E201" s="1912">
        <f>((27000*2)+100000)*1.65</f>
        <v>254100</v>
      </c>
      <c r="F201" s="1912">
        <f>+$I$1</f>
        <v>0.75</v>
      </c>
      <c r="G201" s="1881">
        <f>ROUNDUP(E201/F201,-1)</f>
        <v>338800</v>
      </c>
      <c r="H201" s="1665">
        <f>+G201*C201</f>
        <v>677600</v>
      </c>
      <c r="J201" s="943"/>
    </row>
    <row r="202" spans="1:13" s="12" customFormat="1" ht="15.6" x14ac:dyDescent="0.25">
      <c r="A202" s="1592"/>
      <c r="B202" s="772"/>
      <c r="C202" s="771"/>
      <c r="D202" s="2285"/>
      <c r="E202" s="1912"/>
      <c r="F202" s="1912"/>
      <c r="G202" s="1938"/>
      <c r="H202" s="1651"/>
      <c r="J202" s="942"/>
    </row>
    <row r="203" spans="1:13" s="12" customFormat="1" ht="24" customHeight="1" x14ac:dyDescent="0.25">
      <c r="A203" s="1592"/>
      <c r="B203" s="311" t="s">
        <v>2399</v>
      </c>
      <c r="C203" s="771"/>
      <c r="D203" s="2285"/>
      <c r="E203" s="1912"/>
      <c r="F203" s="1912"/>
      <c r="G203" s="1938"/>
      <c r="H203" s="1651"/>
      <c r="J203" s="942"/>
    </row>
    <row r="204" spans="1:13" s="12" customFormat="1" ht="15.6" x14ac:dyDescent="0.25">
      <c r="A204" s="1592"/>
      <c r="B204" s="772" t="s">
        <v>2400</v>
      </c>
      <c r="C204" s="771"/>
      <c r="D204" s="2285"/>
      <c r="E204" s="1912"/>
      <c r="F204" s="1912"/>
      <c r="G204" s="1938"/>
      <c r="H204" s="1651"/>
      <c r="J204" s="942"/>
    </row>
    <row r="205" spans="1:13" s="12" customFormat="1" ht="82.8" customHeight="1" x14ac:dyDescent="0.25">
      <c r="A205" s="1592" t="s">
        <v>933</v>
      </c>
      <c r="B205" s="772" t="s">
        <v>2401</v>
      </c>
      <c r="C205" s="771">
        <v>45</v>
      </c>
      <c r="D205" s="2285" t="s">
        <v>2402</v>
      </c>
      <c r="E205" s="1912">
        <v>6550</v>
      </c>
      <c r="F205" s="1912">
        <f t="shared" ref="F205" si="22">+$I$1</f>
        <v>0.75</v>
      </c>
      <c r="G205" s="2348">
        <f>ROUNDUP(E205/F205,-1)</f>
        <v>8740</v>
      </c>
      <c r="H205" s="2349">
        <f>+G205*C205</f>
        <v>393300</v>
      </c>
      <c r="J205" s="942"/>
    </row>
    <row r="206" spans="1:13" s="12" customFormat="1" ht="15.6" hidden="1" x14ac:dyDescent="0.25">
      <c r="A206" s="1592"/>
      <c r="B206" s="772"/>
      <c r="C206" s="771"/>
      <c r="D206" s="2276"/>
      <c r="E206" s="1912"/>
      <c r="F206" s="1912"/>
      <c r="G206" s="1938"/>
      <c r="H206" s="1651"/>
      <c r="J206" s="942"/>
    </row>
    <row r="207" spans="1:13" hidden="1" x14ac:dyDescent="0.25">
      <c r="A207" s="1594"/>
      <c r="B207" s="745" t="s">
        <v>2403</v>
      </c>
      <c r="C207" s="2275"/>
      <c r="D207" s="2276"/>
      <c r="E207" s="1912"/>
      <c r="F207" s="1912"/>
      <c r="G207" s="1938"/>
      <c r="H207" s="1651"/>
    </row>
    <row r="208" spans="1:13" s="676" customFormat="1" ht="55.2" hidden="1" x14ac:dyDescent="0.25">
      <c r="A208" s="1613" t="s">
        <v>2404</v>
      </c>
      <c r="B208" s="829" t="s">
        <v>2405</v>
      </c>
      <c r="C208" s="830"/>
      <c r="D208" s="831" t="s">
        <v>1293</v>
      </c>
      <c r="E208" s="1912"/>
      <c r="F208" s="1912"/>
      <c r="G208" s="1933"/>
      <c r="H208" s="1612"/>
      <c r="J208" s="1945"/>
    </row>
    <row r="209" spans="1:12" s="676" customFormat="1" hidden="1" x14ac:dyDescent="0.25">
      <c r="A209" s="1613"/>
      <c r="B209" s="829"/>
      <c r="C209" s="830"/>
      <c r="D209" s="831"/>
      <c r="E209" s="1912"/>
      <c r="F209" s="1912"/>
      <c r="G209" s="1933"/>
      <c r="H209" s="1612"/>
      <c r="J209" s="1945"/>
    </row>
    <row r="210" spans="1:12" hidden="1" x14ac:dyDescent="0.25">
      <c r="A210" s="1594"/>
      <c r="B210" s="745" t="s">
        <v>2406</v>
      </c>
      <c r="C210" s="2275"/>
      <c r="D210" s="2276"/>
      <c r="E210" s="1912"/>
      <c r="F210" s="1912"/>
      <c r="G210" s="1938"/>
      <c r="H210" s="1651"/>
    </row>
    <row r="211" spans="1:12" ht="69" hidden="1" x14ac:dyDescent="0.25">
      <c r="A211" s="1592" t="s">
        <v>2404</v>
      </c>
      <c r="B211" s="303" t="s">
        <v>2407</v>
      </c>
      <c r="C211" s="2275"/>
      <c r="D211" s="2276" t="s">
        <v>1292</v>
      </c>
      <c r="E211" s="1912"/>
      <c r="F211" s="1912"/>
      <c r="G211" s="1938"/>
      <c r="H211" s="1651"/>
      <c r="L211" s="24">
        <f>1.5*1.5*14</f>
        <v>31.5</v>
      </c>
    </row>
    <row r="212" spans="1:12" hidden="1" x14ac:dyDescent="0.25">
      <c r="A212" s="1592"/>
      <c r="B212" s="303"/>
      <c r="C212" s="2275"/>
      <c r="D212" s="2276"/>
      <c r="E212" s="1912"/>
      <c r="F212" s="1912"/>
      <c r="G212" s="1938"/>
      <c r="H212" s="1651"/>
    </row>
    <row r="213" spans="1:12" hidden="1" x14ac:dyDescent="0.25">
      <c r="A213" s="1594"/>
      <c r="B213" s="745" t="s">
        <v>1151</v>
      </c>
      <c r="C213" s="2275"/>
      <c r="D213" s="2276"/>
      <c r="E213" s="1912"/>
      <c r="F213" s="1912"/>
      <c r="G213" s="1938"/>
      <c r="H213" s="1651"/>
    </row>
    <row r="214" spans="1:12" ht="73.8" hidden="1" customHeight="1" x14ac:dyDescent="0.25">
      <c r="A214" s="1594"/>
      <c r="B214" s="303" t="s">
        <v>2408</v>
      </c>
      <c r="C214" s="2275"/>
      <c r="D214" s="2276" t="s">
        <v>981</v>
      </c>
      <c r="E214" s="1912"/>
      <c r="F214" s="1912"/>
      <c r="G214" s="1933"/>
      <c r="H214" s="1651"/>
    </row>
    <row r="215" spans="1:12" ht="14.4" thickBot="1" x14ac:dyDescent="0.3">
      <c r="A215" s="1597"/>
      <c r="B215" s="728"/>
      <c r="C215" s="773"/>
      <c r="D215" s="774"/>
      <c r="E215" s="1913"/>
      <c r="F215" s="1913"/>
      <c r="G215" s="1939"/>
      <c r="H215" s="1611"/>
    </row>
    <row r="216" spans="1:12" s="12" customFormat="1" ht="27" customHeight="1" thickBot="1" x14ac:dyDescent="0.3">
      <c r="A216" s="1614"/>
      <c r="B216" s="2706" t="s">
        <v>741</v>
      </c>
      <c r="C216" s="2707"/>
      <c r="D216" s="2707"/>
      <c r="E216" s="2707"/>
      <c r="F216" s="2707"/>
      <c r="G216" s="2708"/>
      <c r="H216" s="2592">
        <f>SUM(H4:H215)</f>
        <v>6770880</v>
      </c>
      <c r="J216" s="942"/>
    </row>
    <row r="219" spans="1:12" x14ac:dyDescent="0.25">
      <c r="H219" s="954"/>
    </row>
    <row r="220" spans="1:12" x14ac:dyDescent="0.25">
      <c r="B220" s="36">
        <f>2.4*2.4*2.25</f>
        <v>12.959999999999999</v>
      </c>
    </row>
    <row r="221" spans="1:12" x14ac:dyDescent="0.25">
      <c r="B221" s="36">
        <f>B220*1000</f>
        <v>12959.999999999998</v>
      </c>
    </row>
  </sheetData>
  <mergeCells count="1">
    <mergeCell ref="B216:G216"/>
  </mergeCells>
  <pageMargins left="0.51181102362204722" right="0.35433070866141736" top="0.43307086614173229" bottom="0.23622047244094491" header="0.19685039370078741" footer="0.51181102362204722"/>
  <pageSetup scale="91" orientation="portrait" r:id="rId1"/>
  <headerFooter alignWithMargins="0">
    <oddFooter>&amp;C&amp;P</oddFooter>
  </headerFooter>
  <rowBreaks count="4" manualBreakCount="4">
    <brk id="49" max="7" man="1"/>
    <brk id="89" max="7" man="1"/>
    <brk id="128" max="7" man="1"/>
    <brk id="193" max="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09E69-B654-4D9B-8FE8-DC73907C9090}">
  <sheetPr>
    <tabColor rgb="FF002060"/>
  </sheetPr>
  <dimension ref="A1:J174"/>
  <sheetViews>
    <sheetView view="pageBreakPreview" zoomScaleNormal="85" zoomScaleSheetLayoutView="100" workbookViewId="0">
      <selection activeCell="H174" sqref="H174"/>
    </sheetView>
  </sheetViews>
  <sheetFormatPr defaultColWidth="9.21875" defaultRowHeight="15.6" x14ac:dyDescent="0.25"/>
  <cols>
    <col min="1" max="1" width="10" style="2063" bestFit="1" customWidth="1"/>
    <col min="2" max="2" width="49.21875" style="2064" customWidth="1"/>
    <col min="3" max="3" width="8.44140625" style="2065" bestFit="1" customWidth="1"/>
    <col min="4" max="4" width="5.44140625" style="2065" bestFit="1" customWidth="1"/>
    <col min="5" max="5" width="12.5546875" style="2157" hidden="1" customWidth="1"/>
    <col min="6" max="6" width="11.33203125" style="2071" hidden="1" customWidth="1"/>
    <col min="7" max="7" width="13.6640625" style="2066" bestFit="1" customWidth="1"/>
    <col min="8" max="8" width="13.21875" style="2065" bestFit="1" customWidth="1"/>
    <col min="9" max="9" width="11.44140625" style="2043" bestFit="1" customWidth="1"/>
    <col min="10" max="10" width="21" style="2043" customWidth="1"/>
    <col min="11" max="11" width="10" style="2043" bestFit="1" customWidth="1"/>
    <col min="12" max="12" width="14" style="2043" customWidth="1"/>
    <col min="13" max="14" width="12.88671875" style="2043" bestFit="1" customWidth="1"/>
    <col min="15" max="15" width="14.33203125" style="2043" bestFit="1" customWidth="1"/>
    <col min="16" max="16384" width="9.21875" style="2043"/>
  </cols>
  <sheetData>
    <row r="1" spans="1:9" s="2029" customFormat="1" ht="16.2" thickBot="1" x14ac:dyDescent="0.35">
      <c r="A1" s="2023" t="s">
        <v>0</v>
      </c>
      <c r="B1" s="2024" t="s">
        <v>1</v>
      </c>
      <c r="C1" s="2025" t="s">
        <v>2</v>
      </c>
      <c r="D1" s="2026" t="s">
        <v>3</v>
      </c>
      <c r="E1" s="2153" t="s">
        <v>2326</v>
      </c>
      <c r="F1" s="1898" t="s">
        <v>2327</v>
      </c>
      <c r="G1" s="2027" t="s">
        <v>4</v>
      </c>
      <c r="H1" s="2028" t="s">
        <v>5</v>
      </c>
      <c r="I1" s="2029">
        <f>+summary!D16</f>
        <v>0.75</v>
      </c>
    </row>
    <row r="2" spans="1:9" s="2034" customFormat="1" ht="28.05" customHeight="1" x14ac:dyDescent="0.25">
      <c r="A2" s="2030"/>
      <c r="B2" s="1948" t="s">
        <v>314</v>
      </c>
      <c r="C2" s="2031"/>
      <c r="D2" s="2031"/>
      <c r="E2" s="2154"/>
      <c r="F2" s="2067"/>
      <c r="G2" s="2032"/>
      <c r="H2" s="2033"/>
    </row>
    <row r="3" spans="1:9" s="2034" customFormat="1" x14ac:dyDescent="0.25">
      <c r="A3" s="2035"/>
      <c r="B3" s="2346"/>
      <c r="C3" s="2274"/>
      <c r="D3" s="2274"/>
      <c r="E3" s="2155"/>
      <c r="F3" s="2068"/>
      <c r="G3" s="2036"/>
      <c r="H3" s="2037"/>
    </row>
    <row r="4" spans="1:9" x14ac:dyDescent="0.25">
      <c r="A4" s="2041" t="s">
        <v>611</v>
      </c>
      <c r="B4" s="2044" t="s">
        <v>2551</v>
      </c>
      <c r="C4" s="2274"/>
      <c r="D4" s="2274"/>
      <c r="E4" s="2155"/>
      <c r="F4" s="2068"/>
      <c r="G4" s="2036"/>
      <c r="H4" s="2037"/>
    </row>
    <row r="5" spans="1:9" x14ac:dyDescent="0.25">
      <c r="A5" s="2041"/>
      <c r="B5" s="2342"/>
      <c r="C5" s="2274"/>
      <c r="D5" s="2274"/>
      <c r="E5" s="2155"/>
      <c r="F5" s="2068"/>
      <c r="G5" s="2036"/>
      <c r="H5" s="2037"/>
    </row>
    <row r="6" spans="1:9" ht="46.8" x14ac:dyDescent="0.25">
      <c r="A6" s="2041" t="s">
        <v>824</v>
      </c>
      <c r="B6" s="2343" t="s">
        <v>852</v>
      </c>
      <c r="C6" s="2274">
        <v>1</v>
      </c>
      <c r="D6" s="2274" t="s">
        <v>13</v>
      </c>
      <c r="E6" s="2155">
        <v>30000</v>
      </c>
      <c r="F6" s="1912">
        <f>+$I$1</f>
        <v>0.75</v>
      </c>
      <c r="G6" s="1881">
        <f>ROUNDUP(E6/F6,-1)</f>
        <v>40000</v>
      </c>
      <c r="H6" s="1665">
        <f>+G6*C6</f>
        <v>40000</v>
      </c>
    </row>
    <row r="7" spans="1:9" x14ac:dyDescent="0.25">
      <c r="A7" s="2041"/>
      <c r="B7" s="2343"/>
      <c r="C7" s="2274"/>
      <c r="D7" s="2274"/>
      <c r="E7" s="2155"/>
      <c r="F7" s="2068"/>
      <c r="G7" s="2036"/>
      <c r="H7" s="2037"/>
    </row>
    <row r="8" spans="1:9" ht="46.8" x14ac:dyDescent="0.25">
      <c r="A8" s="2041" t="s">
        <v>826</v>
      </c>
      <c r="B8" s="2343" t="s">
        <v>2684</v>
      </c>
      <c r="C8" s="2274">
        <v>1</v>
      </c>
      <c r="D8" s="2274" t="s">
        <v>13</v>
      </c>
      <c r="E8" s="2155">
        <v>45000</v>
      </c>
      <c r="F8" s="1912">
        <f>+$I$1</f>
        <v>0.75</v>
      </c>
      <c r="G8" s="1881">
        <f>ROUNDUP(E8/F8,-1)</f>
        <v>60000</v>
      </c>
      <c r="H8" s="1665">
        <f>+G8*C8</f>
        <v>60000</v>
      </c>
    </row>
    <row r="9" spans="1:9" x14ac:dyDescent="0.25">
      <c r="A9" s="2041"/>
      <c r="B9" s="2343"/>
      <c r="C9" s="2274"/>
      <c r="D9" s="2274"/>
      <c r="E9" s="2155"/>
      <c r="F9" s="2068"/>
      <c r="G9" s="2036"/>
      <c r="H9" s="2037"/>
    </row>
    <row r="10" spans="1:9" x14ac:dyDescent="0.25">
      <c r="A10" s="2041" t="s">
        <v>625</v>
      </c>
      <c r="B10" s="2342" t="s">
        <v>828</v>
      </c>
      <c r="C10" s="2274"/>
      <c r="D10" s="2274"/>
      <c r="E10" s="2155"/>
      <c r="F10" s="2068"/>
      <c r="G10" s="2036"/>
      <c r="H10" s="2037"/>
    </row>
    <row r="11" spans="1:9" x14ac:dyDescent="0.25">
      <c r="A11" s="2041"/>
      <c r="B11" s="2350"/>
      <c r="C11" s="2274"/>
      <c r="D11" s="2274"/>
      <c r="E11" s="2155"/>
      <c r="F11" s="2068"/>
      <c r="G11" s="2036"/>
      <c r="H11" s="2037"/>
    </row>
    <row r="12" spans="1:9" ht="31.2" x14ac:dyDescent="0.25">
      <c r="A12" s="2041"/>
      <c r="B12" s="2342" t="s">
        <v>835</v>
      </c>
      <c r="C12" s="2274"/>
      <c r="D12" s="2274"/>
      <c r="E12" s="2155"/>
      <c r="F12" s="2068"/>
      <c r="G12" s="2036"/>
      <c r="H12" s="2037"/>
    </row>
    <row r="13" spans="1:9" x14ac:dyDescent="0.25">
      <c r="A13" s="2351"/>
      <c r="B13" s="2343"/>
      <c r="C13" s="2274"/>
      <c r="D13" s="2274"/>
      <c r="E13" s="2155"/>
      <c r="F13" s="2068"/>
      <c r="G13" s="2036"/>
      <c r="H13" s="2037"/>
    </row>
    <row r="14" spans="1:9" ht="31.2" x14ac:dyDescent="0.25">
      <c r="A14" s="2351" t="s">
        <v>836</v>
      </c>
      <c r="B14" s="2352" t="s">
        <v>1234</v>
      </c>
      <c r="C14" s="2274">
        <v>1</v>
      </c>
      <c r="D14" s="2274" t="s">
        <v>13</v>
      </c>
      <c r="E14" s="1917">
        <v>52000</v>
      </c>
      <c r="F14" s="1912">
        <f>+$I$1</f>
        <v>0.75</v>
      </c>
      <c r="G14" s="1881">
        <f>ROUNDUP(E14/F14,-1)</f>
        <v>69340</v>
      </c>
      <c r="H14" s="1612">
        <f>+G14*C14</f>
        <v>69340</v>
      </c>
    </row>
    <row r="15" spans="1:9" hidden="1" x14ac:dyDescent="0.25">
      <c r="A15" s="2351"/>
      <c r="B15" s="2352"/>
      <c r="C15" s="2274"/>
      <c r="D15" s="2274"/>
      <c r="E15" s="1917"/>
      <c r="F15" s="1912"/>
      <c r="G15" s="1099"/>
      <c r="H15" s="1651"/>
    </row>
    <row r="16" spans="1:9" ht="31.2" hidden="1" x14ac:dyDescent="0.25">
      <c r="A16" s="2351" t="s">
        <v>1238</v>
      </c>
      <c r="B16" s="2352" t="s">
        <v>2421</v>
      </c>
      <c r="C16" s="2274"/>
      <c r="D16" s="2274" t="s">
        <v>13</v>
      </c>
      <c r="E16" s="1917"/>
      <c r="F16" s="1912"/>
      <c r="G16" s="1881"/>
      <c r="H16" s="1612"/>
    </row>
    <row r="17" spans="1:8" x14ac:dyDescent="0.25">
      <c r="A17" s="2351"/>
      <c r="B17" s="2352"/>
      <c r="C17" s="2274"/>
      <c r="D17" s="2274"/>
      <c r="E17" s="2155"/>
      <c r="F17" s="2068"/>
      <c r="G17" s="2036"/>
      <c r="H17" s="2037"/>
    </row>
    <row r="18" spans="1:8" ht="31.2" x14ac:dyDescent="0.25">
      <c r="A18" s="2351" t="s">
        <v>1239</v>
      </c>
      <c r="B18" s="2352" t="s">
        <v>1414</v>
      </c>
      <c r="C18" s="2274">
        <v>1</v>
      </c>
      <c r="D18" s="2274" t="s">
        <v>13</v>
      </c>
      <c r="E18" s="1917">
        <v>43000</v>
      </c>
      <c r="F18" s="1912">
        <f>+$I$1</f>
        <v>0.75</v>
      </c>
      <c r="G18" s="1881">
        <f>ROUNDUP(E18/F18,-1)</f>
        <v>57340</v>
      </c>
      <c r="H18" s="1612">
        <f>+G18*C18</f>
        <v>57340</v>
      </c>
    </row>
    <row r="19" spans="1:8" x14ac:dyDescent="0.25">
      <c r="A19" s="2351"/>
      <c r="B19" s="2352"/>
      <c r="C19" s="2274"/>
      <c r="D19" s="2274"/>
      <c r="E19" s="2155"/>
      <c r="F19" s="2068"/>
      <c r="G19" s="2036"/>
      <c r="H19" s="2037"/>
    </row>
    <row r="20" spans="1:8" ht="31.2" x14ac:dyDescent="0.25">
      <c r="A20" s="2047" t="s">
        <v>634</v>
      </c>
      <c r="B20" s="2353" t="s">
        <v>842</v>
      </c>
      <c r="C20" s="2353"/>
      <c r="D20" s="2353"/>
      <c r="E20" s="2354"/>
      <c r="F20" s="2355"/>
      <c r="G20" s="2036"/>
      <c r="H20" s="2037"/>
    </row>
    <row r="21" spans="1:8" x14ac:dyDescent="0.25">
      <c r="A21" s="2041"/>
      <c r="B21" s="2350"/>
      <c r="C21" s="2274"/>
      <c r="D21" s="2274"/>
      <c r="E21" s="2155"/>
      <c r="F21" s="2068"/>
      <c r="G21" s="2036"/>
      <c r="H21" s="2037"/>
    </row>
    <row r="22" spans="1:8" ht="20.399999999999999" customHeight="1" x14ac:dyDescent="0.25">
      <c r="A22" s="2041"/>
      <c r="B22" s="2356" t="s">
        <v>1415</v>
      </c>
      <c r="C22" s="2274"/>
      <c r="D22" s="2274"/>
      <c r="E22" s="2155"/>
      <c r="F22" s="2068"/>
      <c r="G22" s="2036"/>
      <c r="H22" s="2037"/>
    </row>
    <row r="23" spans="1:8" x14ac:dyDescent="0.25">
      <c r="A23" s="2041" t="s">
        <v>843</v>
      </c>
      <c r="B23" s="2357" t="s">
        <v>839</v>
      </c>
      <c r="C23" s="2274"/>
      <c r="D23" s="2274"/>
      <c r="E23" s="2155"/>
      <c r="F23" s="2068"/>
      <c r="G23" s="2036"/>
      <c r="H23" s="2037"/>
    </row>
    <row r="24" spans="1:8" ht="109.2" hidden="1" customHeight="1" x14ac:dyDescent="0.25">
      <c r="A24" s="2041"/>
      <c r="B24" s="2350" t="s">
        <v>847</v>
      </c>
      <c r="C24" s="2709">
        <v>3</v>
      </c>
      <c r="D24" s="2710" t="s">
        <v>0</v>
      </c>
      <c r="E24" s="2155"/>
      <c r="F24" s="1912">
        <f t="shared" ref="F24:F26" si="0">+$I$1</f>
        <v>0.75</v>
      </c>
      <c r="G24" s="1881">
        <f t="shared" ref="G24:G26" si="1">ROUNDUP(E24/F24,-1)</f>
        <v>0</v>
      </c>
      <c r="H24" s="1612">
        <f t="shared" ref="H24:H25" si="2">+G24*C24</f>
        <v>0</v>
      </c>
    </row>
    <row r="25" spans="1:8" ht="15.6" hidden="1" customHeight="1" x14ac:dyDescent="0.25">
      <c r="A25" s="2041"/>
      <c r="B25" s="2358" t="s">
        <v>844</v>
      </c>
      <c r="C25" s="2709"/>
      <c r="D25" s="2710"/>
      <c r="E25" s="2155"/>
      <c r="F25" s="1912">
        <f t="shared" si="0"/>
        <v>0.75</v>
      </c>
      <c r="G25" s="1881">
        <f t="shared" si="1"/>
        <v>0</v>
      </c>
      <c r="H25" s="1612">
        <f t="shared" si="2"/>
        <v>0</v>
      </c>
    </row>
    <row r="26" spans="1:8" ht="140.4" x14ac:dyDescent="0.25">
      <c r="A26" s="2041"/>
      <c r="B26" s="2350" t="s">
        <v>2685</v>
      </c>
      <c r="C26" s="2709"/>
      <c r="D26" s="2710"/>
      <c r="E26" s="2155">
        <f>94000+15000</f>
        <v>109000</v>
      </c>
      <c r="F26" s="1912">
        <f t="shared" si="0"/>
        <v>0.75</v>
      </c>
      <c r="G26" s="1881">
        <f t="shared" si="1"/>
        <v>145340</v>
      </c>
      <c r="H26" s="1612">
        <f>+G26*C24</f>
        <v>436020</v>
      </c>
    </row>
    <row r="27" spans="1:8" ht="46.8" hidden="1" x14ac:dyDescent="0.25">
      <c r="A27" s="2041"/>
      <c r="B27" s="2352" t="s">
        <v>1325</v>
      </c>
      <c r="C27" s="2274"/>
      <c r="D27" s="2274"/>
      <c r="E27" s="2155"/>
      <c r="F27" s="2068"/>
      <c r="G27" s="2036"/>
      <c r="H27" s="2037"/>
    </row>
    <row r="28" spans="1:8" x14ac:dyDescent="0.25">
      <c r="A28" s="2041" t="s">
        <v>845</v>
      </c>
      <c r="B28" s="2359" t="s">
        <v>1245</v>
      </c>
      <c r="C28" s="2274"/>
      <c r="D28" s="2274"/>
      <c r="E28" s="2155"/>
      <c r="F28" s="2068"/>
      <c r="G28" s="2036"/>
      <c r="H28" s="2037"/>
    </row>
    <row r="29" spans="1:8" ht="124.8" hidden="1" customHeight="1" x14ac:dyDescent="0.25">
      <c r="A29" s="2041"/>
      <c r="B29" s="2360" t="s">
        <v>2429</v>
      </c>
      <c r="C29" s="2709">
        <v>2</v>
      </c>
      <c r="D29" s="2710" t="s">
        <v>0</v>
      </c>
      <c r="E29" s="2155"/>
      <c r="F29" s="1912">
        <f t="shared" ref="F29:F30" si="3">+$I$1</f>
        <v>0.75</v>
      </c>
      <c r="G29" s="1881">
        <f t="shared" ref="G29:G30" si="4">ROUNDUP(E29/F29,-1)</f>
        <v>0</v>
      </c>
      <c r="H29" s="1612">
        <f t="shared" ref="H29" si="5">+G29*C29</f>
        <v>0</v>
      </c>
    </row>
    <row r="30" spans="1:8" ht="145.80000000000001" customHeight="1" thickBot="1" x14ac:dyDescent="0.3">
      <c r="A30" s="2045"/>
      <c r="B30" s="2371" t="s">
        <v>2686</v>
      </c>
      <c r="C30" s="2711"/>
      <c r="D30" s="2712"/>
      <c r="E30" s="2156">
        <f>60000+9000</f>
        <v>69000</v>
      </c>
      <c r="F30" s="1913">
        <f t="shared" si="3"/>
        <v>0.75</v>
      </c>
      <c r="G30" s="2372">
        <f t="shared" si="4"/>
        <v>92000</v>
      </c>
      <c r="H30" s="2373">
        <f>+G30*C29</f>
        <v>184000</v>
      </c>
    </row>
    <row r="31" spans="1:8" ht="47.4" hidden="1" thickBot="1" x14ac:dyDescent="0.3">
      <c r="A31" s="2374"/>
      <c r="B31" s="2375" t="s">
        <v>1325</v>
      </c>
      <c r="C31" s="2377"/>
      <c r="D31" s="2378"/>
      <c r="E31" s="2376"/>
      <c r="F31" s="2379"/>
      <c r="G31" s="2380"/>
      <c r="H31" s="2381"/>
    </row>
    <row r="32" spans="1:8" x14ac:dyDescent="0.25">
      <c r="A32" s="2046"/>
      <c r="B32" s="2382"/>
      <c r="C32" s="2049"/>
      <c r="D32" s="2031"/>
      <c r="E32" s="2154"/>
      <c r="F32" s="2067"/>
      <c r="G32" s="2032"/>
      <c r="H32" s="2033"/>
    </row>
    <row r="33" spans="1:8" hidden="1" x14ac:dyDescent="0.25">
      <c r="A33" s="2041" t="s">
        <v>1247</v>
      </c>
      <c r="B33" s="2359" t="s">
        <v>1246</v>
      </c>
      <c r="C33" s="2273"/>
      <c r="D33" s="2274"/>
      <c r="E33" s="2155"/>
      <c r="F33" s="2068"/>
      <c r="G33" s="2036"/>
      <c r="H33" s="2037"/>
    </row>
    <row r="34" spans="1:8" ht="124.8" hidden="1" x14ac:dyDescent="0.25">
      <c r="A34" s="2041"/>
      <c r="B34" s="2360" t="s">
        <v>1330</v>
      </c>
      <c r="C34" s="2273"/>
      <c r="D34" s="2274" t="s">
        <v>1135</v>
      </c>
      <c r="E34" s="2155"/>
      <c r="F34" s="2068"/>
      <c r="G34" s="2036"/>
      <c r="H34" s="2037"/>
    </row>
    <row r="35" spans="1:8" ht="31.2" hidden="1" x14ac:dyDescent="0.25">
      <c r="A35" s="2041"/>
      <c r="B35" s="2360" t="s">
        <v>1326</v>
      </c>
      <c r="C35" s="2273"/>
      <c r="D35" s="2274"/>
      <c r="E35" s="2155"/>
      <c r="F35" s="2068"/>
      <c r="G35" s="2036"/>
      <c r="H35" s="2037"/>
    </row>
    <row r="36" spans="1:8" hidden="1" x14ac:dyDescent="0.25">
      <c r="A36" s="2041"/>
      <c r="B36" s="2360"/>
      <c r="C36" s="2273"/>
      <c r="D36" s="2361"/>
      <c r="E36" s="2362"/>
      <c r="F36" s="2363"/>
      <c r="G36" s="2364"/>
      <c r="H36" s="2365"/>
    </row>
    <row r="37" spans="1:8" hidden="1" x14ac:dyDescent="0.25">
      <c r="A37" s="2041" t="s">
        <v>1248</v>
      </c>
      <c r="B37" s="2359" t="s">
        <v>1308</v>
      </c>
      <c r="C37" s="2273"/>
      <c r="D37" s="2274"/>
      <c r="E37" s="2155"/>
      <c r="F37" s="2068"/>
      <c r="G37" s="2036"/>
      <c r="H37" s="2037"/>
    </row>
    <row r="38" spans="1:8" ht="140.4" hidden="1" x14ac:dyDescent="0.25">
      <c r="A38" s="2041"/>
      <c r="B38" s="2360" t="s">
        <v>1253</v>
      </c>
      <c r="C38" s="2273"/>
      <c r="D38" s="2274" t="s">
        <v>1135</v>
      </c>
      <c r="E38" s="2155"/>
      <c r="F38" s="2068"/>
      <c r="G38" s="2036"/>
      <c r="H38" s="2037"/>
    </row>
    <row r="39" spans="1:8" ht="46.8" hidden="1" x14ac:dyDescent="0.25">
      <c r="A39" s="2041"/>
      <c r="B39" s="2360" t="s">
        <v>1325</v>
      </c>
      <c r="C39" s="2273"/>
      <c r="D39" s="2361"/>
      <c r="E39" s="2362"/>
      <c r="F39" s="2363"/>
      <c r="G39" s="2364"/>
      <c r="H39" s="2365"/>
    </row>
    <row r="40" spans="1:8" hidden="1" x14ac:dyDescent="0.25">
      <c r="A40" s="2041"/>
      <c r="B40" s="2360"/>
      <c r="C40" s="2273"/>
      <c r="D40" s="2361"/>
      <c r="E40" s="2362"/>
      <c r="F40" s="2363"/>
      <c r="G40" s="2364"/>
      <c r="H40" s="2365"/>
    </row>
    <row r="41" spans="1:8" hidden="1" x14ac:dyDescent="0.25">
      <c r="A41" s="2041" t="s">
        <v>1248</v>
      </c>
      <c r="B41" s="2353" t="s">
        <v>1241</v>
      </c>
      <c r="C41" s="2273"/>
      <c r="D41" s="2274"/>
      <c r="E41" s="2155"/>
      <c r="F41" s="2068"/>
      <c r="G41" s="2036"/>
      <c r="H41" s="2037"/>
    </row>
    <row r="42" spans="1:8" ht="109.2" hidden="1" x14ac:dyDescent="0.25">
      <c r="A42" s="2041"/>
      <c r="B42" s="2360" t="s">
        <v>1343</v>
      </c>
      <c r="C42" s="2274"/>
      <c r="D42" s="2274" t="s">
        <v>1135</v>
      </c>
      <c r="E42" s="2155"/>
      <c r="F42" s="2068"/>
      <c r="G42" s="2364"/>
      <c r="H42" s="2365"/>
    </row>
    <row r="43" spans="1:8" ht="46.8" hidden="1" x14ac:dyDescent="0.25">
      <c r="A43" s="2041"/>
      <c r="B43" s="2360" t="s">
        <v>1325</v>
      </c>
      <c r="C43" s="2274"/>
      <c r="D43" s="2361"/>
      <c r="E43" s="2362"/>
      <c r="F43" s="2363"/>
      <c r="G43" s="2364"/>
      <c r="H43" s="2365"/>
    </row>
    <row r="44" spans="1:8" hidden="1" x14ac:dyDescent="0.25">
      <c r="A44" s="2041"/>
      <c r="B44" s="2360"/>
      <c r="C44" s="2274"/>
      <c r="D44" s="2361"/>
      <c r="E44" s="2362"/>
      <c r="F44" s="2363"/>
      <c r="G44" s="2364"/>
      <c r="H44" s="2365"/>
    </row>
    <row r="45" spans="1:8" hidden="1" x14ac:dyDescent="0.25">
      <c r="A45" s="2041"/>
      <c r="B45" s="2360"/>
      <c r="C45" s="2274"/>
      <c r="D45" s="2361"/>
      <c r="E45" s="2362"/>
      <c r="F45" s="2363"/>
      <c r="G45" s="2364"/>
      <c r="H45" s="2365"/>
    </row>
    <row r="46" spans="1:8" hidden="1" x14ac:dyDescent="0.25">
      <c r="A46" s="2041"/>
      <c r="B46" s="2360"/>
      <c r="C46" s="2274"/>
      <c r="D46" s="2361"/>
      <c r="E46" s="2362"/>
      <c r="F46" s="2363"/>
      <c r="G46" s="2364"/>
      <c r="H46" s="2365"/>
    </row>
    <row r="47" spans="1:8" hidden="1" x14ac:dyDescent="0.25">
      <c r="A47" s="2041"/>
      <c r="B47" s="2360"/>
      <c r="C47" s="2274"/>
      <c r="D47" s="2361"/>
      <c r="E47" s="2362"/>
      <c r="F47" s="2363"/>
      <c r="G47" s="2364"/>
      <c r="H47" s="2365"/>
    </row>
    <row r="48" spans="1:8" hidden="1" x14ac:dyDescent="0.25">
      <c r="A48" s="2041"/>
      <c r="B48" s="2360"/>
      <c r="C48" s="2274"/>
      <c r="D48" s="2361"/>
      <c r="E48" s="2362"/>
      <c r="F48" s="2363"/>
      <c r="G48" s="2364"/>
      <c r="H48" s="2365"/>
    </row>
    <row r="49" spans="1:8" hidden="1" x14ac:dyDescent="0.25">
      <c r="A49" s="2041"/>
      <c r="B49" s="2360"/>
      <c r="C49" s="2274"/>
      <c r="D49" s="2361"/>
      <c r="E49" s="2362"/>
      <c r="F49" s="2363"/>
      <c r="G49" s="2364"/>
      <c r="H49" s="2365"/>
    </row>
    <row r="50" spans="1:8" hidden="1" x14ac:dyDescent="0.25">
      <c r="A50" s="2041"/>
      <c r="B50" s="2360"/>
      <c r="C50" s="2274"/>
      <c r="D50" s="2361"/>
      <c r="E50" s="2362"/>
      <c r="F50" s="2363"/>
      <c r="G50" s="2364"/>
      <c r="H50" s="2365"/>
    </row>
    <row r="51" spans="1:8" hidden="1" x14ac:dyDescent="0.25">
      <c r="A51" s="2041"/>
      <c r="B51" s="2360"/>
      <c r="C51" s="2274"/>
      <c r="D51" s="2361"/>
      <c r="E51" s="2362"/>
      <c r="F51" s="2363"/>
      <c r="G51" s="2364"/>
      <c r="H51" s="2365"/>
    </row>
    <row r="52" spans="1:8" hidden="1" x14ac:dyDescent="0.25">
      <c r="A52" s="2041"/>
      <c r="B52" s="2360"/>
      <c r="C52" s="2273"/>
      <c r="D52" s="2274"/>
      <c r="E52" s="2155"/>
      <c r="F52" s="2068"/>
      <c r="G52" s="2036"/>
      <c r="H52" s="2037"/>
    </row>
    <row r="53" spans="1:8" hidden="1" x14ac:dyDescent="0.25">
      <c r="A53" s="2041" t="s">
        <v>1250</v>
      </c>
      <c r="B53" s="2353" t="s">
        <v>1249</v>
      </c>
      <c r="C53" s="2273"/>
      <c r="D53" s="2274"/>
      <c r="E53" s="2155"/>
      <c r="F53" s="2068"/>
      <c r="G53" s="2036"/>
      <c r="H53" s="2037"/>
    </row>
    <row r="54" spans="1:8" x14ac:dyDescent="0.25">
      <c r="A54" s="2047" t="s">
        <v>636</v>
      </c>
      <c r="B54" s="2366" t="s">
        <v>848</v>
      </c>
      <c r="C54" s="2273"/>
      <c r="D54" s="2274"/>
      <c r="E54" s="2155"/>
      <c r="F54" s="2068"/>
      <c r="G54" s="2036"/>
      <c r="H54" s="2037"/>
    </row>
    <row r="55" spans="1:8" x14ac:dyDescent="0.25">
      <c r="A55" s="2041"/>
      <c r="B55" s="2342"/>
      <c r="C55" s="2273"/>
      <c r="D55" s="2274"/>
      <c r="E55" s="2155"/>
      <c r="F55" s="2068"/>
      <c r="G55" s="2036"/>
      <c r="H55" s="2037"/>
    </row>
    <row r="56" spans="1:8" x14ac:dyDescent="0.25">
      <c r="A56" s="2041"/>
      <c r="B56" s="2367" t="s">
        <v>1416</v>
      </c>
      <c r="C56" s="2273"/>
      <c r="D56" s="2274"/>
      <c r="E56" s="2155"/>
      <c r="F56" s="2068"/>
      <c r="G56" s="2036"/>
      <c r="H56" s="2037"/>
    </row>
    <row r="57" spans="1:8" x14ac:dyDescent="0.25">
      <c r="A57" s="2041"/>
      <c r="B57" s="2367"/>
      <c r="C57" s="2273"/>
      <c r="D57" s="2274"/>
      <c r="E57" s="2155"/>
      <c r="F57" s="2068"/>
      <c r="G57" s="2036"/>
      <c r="H57" s="2037"/>
    </row>
    <row r="58" spans="1:8" ht="124.2" customHeight="1" x14ac:dyDescent="0.25">
      <c r="A58" s="2041" t="s">
        <v>2570</v>
      </c>
      <c r="B58" s="2653" t="s">
        <v>2588</v>
      </c>
      <c r="C58" s="2273"/>
      <c r="D58" s="2274"/>
      <c r="E58" s="2155"/>
      <c r="F58" s="1912"/>
      <c r="G58" s="1881"/>
      <c r="H58" s="1612"/>
    </row>
    <row r="59" spans="1:8" x14ac:dyDescent="0.25">
      <c r="A59" s="2041"/>
      <c r="B59" s="2042" t="s">
        <v>2552</v>
      </c>
      <c r="C59" s="2273">
        <v>25</v>
      </c>
      <c r="D59" s="2274" t="s">
        <v>981</v>
      </c>
      <c r="E59" s="2155">
        <v>9000</v>
      </c>
      <c r="F59" s="1912">
        <f t="shared" ref="F59:F62" si="6">+$I$1</f>
        <v>0.75</v>
      </c>
      <c r="G59" s="1881">
        <f t="shared" ref="G59:G62" si="7">ROUNDUP(E59/F59,-1)</f>
        <v>12000</v>
      </c>
      <c r="H59" s="1612">
        <f t="shared" ref="H59:H62" si="8">+G59*C59</f>
        <v>300000</v>
      </c>
    </row>
    <row r="60" spans="1:8" x14ac:dyDescent="0.25">
      <c r="A60" s="2041"/>
      <c r="B60" s="2042" t="s">
        <v>2553</v>
      </c>
      <c r="C60" s="2273">
        <v>35</v>
      </c>
      <c r="D60" s="2274" t="s">
        <v>981</v>
      </c>
      <c r="E60" s="2155">
        <v>9000</v>
      </c>
      <c r="F60" s="1912">
        <f t="shared" si="6"/>
        <v>0.75</v>
      </c>
      <c r="G60" s="1881">
        <f t="shared" si="7"/>
        <v>12000</v>
      </c>
      <c r="H60" s="1612">
        <f t="shared" si="8"/>
        <v>420000</v>
      </c>
    </row>
    <row r="61" spans="1:8" x14ac:dyDescent="0.25">
      <c r="A61" s="2041"/>
      <c r="B61" s="2042" t="s">
        <v>2554</v>
      </c>
      <c r="C61" s="2273">
        <v>35</v>
      </c>
      <c r="D61" s="2274" t="s">
        <v>981</v>
      </c>
      <c r="E61" s="2155">
        <v>9000</v>
      </c>
      <c r="F61" s="1912">
        <f t="shared" si="6"/>
        <v>0.75</v>
      </c>
      <c r="G61" s="1881">
        <f t="shared" si="7"/>
        <v>12000</v>
      </c>
      <c r="H61" s="1612">
        <f t="shared" si="8"/>
        <v>420000</v>
      </c>
    </row>
    <row r="62" spans="1:8" x14ac:dyDescent="0.25">
      <c r="A62" s="2041"/>
      <c r="B62" s="2042" t="s">
        <v>2555</v>
      </c>
      <c r="C62" s="2273">
        <v>12</v>
      </c>
      <c r="D62" s="2274" t="s">
        <v>981</v>
      </c>
      <c r="E62" s="2155">
        <v>9000</v>
      </c>
      <c r="F62" s="1912">
        <f t="shared" si="6"/>
        <v>0.75</v>
      </c>
      <c r="G62" s="1881">
        <f t="shared" si="7"/>
        <v>12000</v>
      </c>
      <c r="H62" s="1612">
        <f t="shared" si="8"/>
        <v>144000</v>
      </c>
    </row>
    <row r="63" spans="1:8" x14ac:dyDescent="0.25">
      <c r="A63" s="2041"/>
      <c r="B63" s="2044"/>
      <c r="C63" s="2273"/>
      <c r="D63" s="2274"/>
      <c r="E63" s="2155"/>
      <c r="F63" s="2068"/>
      <c r="G63" s="2036"/>
      <c r="H63" s="2037"/>
    </row>
    <row r="64" spans="1:8" ht="109.2" x14ac:dyDescent="0.25">
      <c r="A64" s="2041" t="s">
        <v>2571</v>
      </c>
      <c r="B64" s="2042" t="s">
        <v>2430</v>
      </c>
      <c r="C64" s="2273"/>
      <c r="D64" s="2274"/>
      <c r="E64" s="2155"/>
      <c r="F64" s="1912"/>
      <c r="G64" s="1881"/>
      <c r="H64" s="1612"/>
    </row>
    <row r="65" spans="1:8" x14ac:dyDescent="0.25">
      <c r="A65" s="2041"/>
      <c r="B65" s="2042" t="s">
        <v>2552</v>
      </c>
      <c r="C65" s="2273">
        <v>22</v>
      </c>
      <c r="D65" s="2274" t="s">
        <v>981</v>
      </c>
      <c r="E65" s="2155">
        <v>7500</v>
      </c>
      <c r="F65" s="1912">
        <f t="shared" ref="F65:F68" si="9">+$I$1</f>
        <v>0.75</v>
      </c>
      <c r="G65" s="1881">
        <f t="shared" ref="G65:G68" si="10">ROUNDUP(E65/F65,-1)</f>
        <v>10000</v>
      </c>
      <c r="H65" s="1612">
        <f t="shared" ref="H65:H68" si="11">+G65*C65</f>
        <v>220000</v>
      </c>
    </row>
    <row r="66" spans="1:8" x14ac:dyDescent="0.25">
      <c r="A66" s="2041"/>
      <c r="B66" s="2042" t="s">
        <v>2553</v>
      </c>
      <c r="C66" s="2273">
        <v>25</v>
      </c>
      <c r="D66" s="2274" t="s">
        <v>981</v>
      </c>
      <c r="E66" s="2155">
        <v>7500</v>
      </c>
      <c r="F66" s="1912">
        <f t="shared" si="9"/>
        <v>0.75</v>
      </c>
      <c r="G66" s="1881">
        <f t="shared" si="10"/>
        <v>10000</v>
      </c>
      <c r="H66" s="1612">
        <f t="shared" si="11"/>
        <v>250000</v>
      </c>
    </row>
    <row r="67" spans="1:8" x14ac:dyDescent="0.25">
      <c r="A67" s="2041"/>
      <c r="B67" s="2042" t="s">
        <v>2554</v>
      </c>
      <c r="C67" s="2273">
        <v>25</v>
      </c>
      <c r="D67" s="2274" t="s">
        <v>981</v>
      </c>
      <c r="E67" s="2155">
        <v>7500</v>
      </c>
      <c r="F67" s="1912">
        <f t="shared" si="9"/>
        <v>0.75</v>
      </c>
      <c r="G67" s="1881">
        <f t="shared" si="10"/>
        <v>10000</v>
      </c>
      <c r="H67" s="1612">
        <f t="shared" si="11"/>
        <v>250000</v>
      </c>
    </row>
    <row r="68" spans="1:8" x14ac:dyDescent="0.25">
      <c r="A68" s="2041"/>
      <c r="B68" s="2042" t="s">
        <v>2555</v>
      </c>
      <c r="C68" s="2273">
        <v>7</v>
      </c>
      <c r="D68" s="2274" t="s">
        <v>981</v>
      </c>
      <c r="E68" s="2155">
        <v>7500</v>
      </c>
      <c r="F68" s="1912">
        <f t="shared" si="9"/>
        <v>0.75</v>
      </c>
      <c r="G68" s="1881">
        <f t="shared" si="10"/>
        <v>10000</v>
      </c>
      <c r="H68" s="1612">
        <f t="shared" si="11"/>
        <v>70000</v>
      </c>
    </row>
    <row r="69" spans="1:8" x14ac:dyDescent="0.25">
      <c r="A69" s="2041"/>
      <c r="B69" s="2368"/>
      <c r="C69" s="2273"/>
      <c r="D69" s="2274"/>
      <c r="E69" s="2155"/>
      <c r="F69" s="2369"/>
      <c r="G69" s="2370"/>
      <c r="H69" s="2037"/>
    </row>
    <row r="70" spans="1:8" ht="117.6" customHeight="1" x14ac:dyDescent="0.25">
      <c r="A70" s="2041" t="s">
        <v>2572</v>
      </c>
      <c r="B70" s="2053" t="s">
        <v>2431</v>
      </c>
      <c r="C70" s="2273"/>
      <c r="D70" s="2274"/>
      <c r="E70" s="2155"/>
      <c r="F70" s="1877"/>
      <c r="G70" s="1881"/>
      <c r="H70" s="1665"/>
    </row>
    <row r="71" spans="1:8" x14ac:dyDescent="0.25">
      <c r="A71" s="2041"/>
      <c r="B71" s="2042" t="s">
        <v>2552</v>
      </c>
      <c r="C71" s="2273">
        <v>3</v>
      </c>
      <c r="D71" s="2274" t="s">
        <v>981</v>
      </c>
      <c r="E71" s="2155">
        <v>8000</v>
      </c>
      <c r="F71" s="1877">
        <f t="shared" ref="F71:F74" si="12">+$I$1</f>
        <v>0.75</v>
      </c>
      <c r="G71" s="1881">
        <f t="shared" ref="G71:G74" si="13">ROUNDUP(E71/F71,-1)</f>
        <v>10670</v>
      </c>
      <c r="H71" s="1665">
        <f t="shared" ref="H71:H74" si="14">+G71*C71</f>
        <v>32010</v>
      </c>
    </row>
    <row r="72" spans="1:8" x14ac:dyDescent="0.25">
      <c r="A72" s="2041"/>
      <c r="B72" s="2042" t="s">
        <v>2553</v>
      </c>
      <c r="C72" s="2273">
        <v>3</v>
      </c>
      <c r="D72" s="2274" t="s">
        <v>981</v>
      </c>
      <c r="E72" s="2155">
        <v>8000</v>
      </c>
      <c r="F72" s="1877">
        <f t="shared" si="12"/>
        <v>0.75</v>
      </c>
      <c r="G72" s="1881">
        <f t="shared" si="13"/>
        <v>10670</v>
      </c>
      <c r="H72" s="1665">
        <f t="shared" si="14"/>
        <v>32010</v>
      </c>
    </row>
    <row r="73" spans="1:8" x14ac:dyDescent="0.25">
      <c r="A73" s="2041"/>
      <c r="B73" s="2042" t="s">
        <v>2554</v>
      </c>
      <c r="C73" s="2273">
        <v>3</v>
      </c>
      <c r="D73" s="2274" t="s">
        <v>981</v>
      </c>
      <c r="E73" s="2155">
        <v>8000</v>
      </c>
      <c r="F73" s="2391">
        <f t="shared" si="12"/>
        <v>0.75</v>
      </c>
      <c r="G73" s="2348">
        <f t="shared" si="13"/>
        <v>10670</v>
      </c>
      <c r="H73" s="2349">
        <f t="shared" si="14"/>
        <v>32010</v>
      </c>
    </row>
    <row r="74" spans="1:8" ht="16.2" thickBot="1" x14ac:dyDescent="0.3">
      <c r="A74" s="2045"/>
      <c r="B74" s="2383" t="s">
        <v>2555</v>
      </c>
      <c r="C74" s="2048">
        <v>1</v>
      </c>
      <c r="D74" s="2038" t="s">
        <v>981</v>
      </c>
      <c r="E74" s="2155">
        <v>8000</v>
      </c>
      <c r="F74" s="2384">
        <f t="shared" si="12"/>
        <v>0.75</v>
      </c>
      <c r="G74" s="2385">
        <f t="shared" si="13"/>
        <v>10670</v>
      </c>
      <c r="H74" s="2386">
        <f t="shared" si="14"/>
        <v>10670</v>
      </c>
    </row>
    <row r="75" spans="1:8" x14ac:dyDescent="0.25">
      <c r="A75" s="2046"/>
      <c r="B75" s="2387"/>
      <c r="C75" s="2049"/>
      <c r="D75" s="2031"/>
      <c r="E75" s="2154"/>
      <c r="F75" s="2067"/>
      <c r="G75" s="2032"/>
      <c r="H75" s="2033"/>
    </row>
    <row r="76" spans="1:8" ht="114" customHeight="1" x14ac:dyDescent="0.25">
      <c r="A76" s="2041" t="s">
        <v>2573</v>
      </c>
      <c r="B76" s="2053" t="s">
        <v>2432</v>
      </c>
      <c r="C76" s="2054"/>
      <c r="D76" s="2055"/>
      <c r="E76" s="2152"/>
      <c r="F76" s="2649"/>
      <c r="G76" s="2647"/>
      <c r="H76" s="2648"/>
    </row>
    <row r="77" spans="1:8" ht="17.399999999999999" customHeight="1" x14ac:dyDescent="0.25">
      <c r="A77" s="2041"/>
      <c r="B77" s="2042" t="s">
        <v>2552</v>
      </c>
      <c r="C77" s="2273">
        <v>6</v>
      </c>
      <c r="D77" s="2274" t="s">
        <v>981</v>
      </c>
      <c r="E77" s="2152">
        <v>7500</v>
      </c>
      <c r="F77" s="1877">
        <f t="shared" ref="F77:F80" si="15">+$I$1</f>
        <v>0.75</v>
      </c>
      <c r="G77" s="1881">
        <f t="shared" ref="G77:G80" si="16">ROUNDUP(E77/F77,-1)</f>
        <v>10000</v>
      </c>
      <c r="H77" s="1665">
        <f t="shared" ref="H77:H80" si="17">+G77*C77</f>
        <v>60000</v>
      </c>
    </row>
    <row r="78" spans="1:8" ht="17.399999999999999" customHeight="1" x14ac:dyDescent="0.25">
      <c r="A78" s="2041"/>
      <c r="B78" s="2042" t="s">
        <v>2553</v>
      </c>
      <c r="C78" s="2273">
        <v>5</v>
      </c>
      <c r="D78" s="2274" t="s">
        <v>981</v>
      </c>
      <c r="E78" s="2152">
        <v>7500</v>
      </c>
      <c r="F78" s="1877">
        <f t="shared" si="15"/>
        <v>0.75</v>
      </c>
      <c r="G78" s="1881">
        <f t="shared" si="16"/>
        <v>10000</v>
      </c>
      <c r="H78" s="1665">
        <f t="shared" si="17"/>
        <v>50000</v>
      </c>
    </row>
    <row r="79" spans="1:8" ht="17.399999999999999" customHeight="1" x14ac:dyDescent="0.25">
      <c r="A79" s="2041"/>
      <c r="B79" s="2042" t="s">
        <v>2554</v>
      </c>
      <c r="C79" s="2273">
        <v>5</v>
      </c>
      <c r="D79" s="2274" t="s">
        <v>981</v>
      </c>
      <c r="E79" s="2152">
        <v>7500</v>
      </c>
      <c r="F79" s="1877">
        <f t="shared" si="15"/>
        <v>0.75</v>
      </c>
      <c r="G79" s="1881">
        <f t="shared" si="16"/>
        <v>10000</v>
      </c>
      <c r="H79" s="1665">
        <f t="shared" si="17"/>
        <v>50000</v>
      </c>
    </row>
    <row r="80" spans="1:8" ht="17.399999999999999" customHeight="1" x14ac:dyDescent="0.25">
      <c r="A80" s="2041"/>
      <c r="B80" s="2042" t="s">
        <v>2555</v>
      </c>
      <c r="C80" s="2273">
        <v>1</v>
      </c>
      <c r="D80" s="2274" t="s">
        <v>981</v>
      </c>
      <c r="E80" s="2152">
        <v>7500</v>
      </c>
      <c r="F80" s="1877">
        <f t="shared" si="15"/>
        <v>0.75</v>
      </c>
      <c r="G80" s="1881">
        <f t="shared" si="16"/>
        <v>10000</v>
      </c>
      <c r="H80" s="1665">
        <f t="shared" si="17"/>
        <v>10000</v>
      </c>
    </row>
    <row r="81" spans="1:10" x14ac:dyDescent="0.25">
      <c r="A81" s="2041"/>
      <c r="B81" s="2050"/>
      <c r="C81" s="2273"/>
      <c r="D81" s="2274"/>
      <c r="E81" s="2155"/>
      <c r="F81" s="2068"/>
      <c r="G81" s="2036"/>
      <c r="H81" s="2037"/>
    </row>
    <row r="82" spans="1:10" ht="113.4" customHeight="1" x14ac:dyDescent="0.25">
      <c r="A82" s="2041" t="s">
        <v>2574</v>
      </c>
      <c r="B82" s="2053" t="s">
        <v>2691</v>
      </c>
      <c r="C82" s="2054"/>
      <c r="D82" s="2055"/>
      <c r="E82" s="2152"/>
      <c r="F82" s="1877"/>
      <c r="G82" s="1881"/>
      <c r="H82" s="1665"/>
    </row>
    <row r="83" spans="1:10" ht="19.8" customHeight="1" x14ac:dyDescent="0.25">
      <c r="A83" s="2041"/>
      <c r="B83" s="2042" t="s">
        <v>2552</v>
      </c>
      <c r="C83" s="2273">
        <v>6</v>
      </c>
      <c r="D83" s="2274" t="s">
        <v>981</v>
      </c>
      <c r="E83" s="2152">
        <f>26200+800+950</f>
        <v>27950</v>
      </c>
      <c r="F83" s="1877">
        <f t="shared" ref="F83:F86" si="18">+$I$1</f>
        <v>0.75</v>
      </c>
      <c r="G83" s="1881">
        <f t="shared" ref="G83:G86" si="19">ROUNDUP(E83/F83,-1)</f>
        <v>37270</v>
      </c>
      <c r="H83" s="1665">
        <f t="shared" ref="H83:H86" si="20">+G83*C83</f>
        <v>223620</v>
      </c>
    </row>
    <row r="84" spans="1:10" ht="19.8" customHeight="1" x14ac:dyDescent="0.25">
      <c r="A84" s="2041"/>
      <c r="B84" s="2042" t="s">
        <v>2553</v>
      </c>
      <c r="C84" s="2273">
        <v>5</v>
      </c>
      <c r="D84" s="2274" t="s">
        <v>981</v>
      </c>
      <c r="E84" s="2152">
        <f t="shared" ref="E84:E86" si="21">26200+800+950</f>
        <v>27950</v>
      </c>
      <c r="F84" s="1877">
        <f t="shared" si="18"/>
        <v>0.75</v>
      </c>
      <c r="G84" s="1881">
        <f t="shared" si="19"/>
        <v>37270</v>
      </c>
      <c r="H84" s="1665">
        <f t="shared" si="20"/>
        <v>186350</v>
      </c>
    </row>
    <row r="85" spans="1:10" ht="19.8" customHeight="1" x14ac:dyDescent="0.25">
      <c r="A85" s="2041"/>
      <c r="B85" s="2042" t="s">
        <v>2554</v>
      </c>
      <c r="C85" s="2273">
        <v>5</v>
      </c>
      <c r="D85" s="2274" t="s">
        <v>981</v>
      </c>
      <c r="E85" s="2152">
        <f t="shared" si="21"/>
        <v>27950</v>
      </c>
      <c r="F85" s="1877">
        <f t="shared" si="18"/>
        <v>0.75</v>
      </c>
      <c r="G85" s="1881">
        <f t="shared" si="19"/>
        <v>37270</v>
      </c>
      <c r="H85" s="1665">
        <f t="shared" si="20"/>
        <v>186350</v>
      </c>
    </row>
    <row r="86" spans="1:10" ht="19.8" customHeight="1" x14ac:dyDescent="0.25">
      <c r="A86" s="2041"/>
      <c r="B86" s="2042" t="s">
        <v>2555</v>
      </c>
      <c r="C86" s="2273">
        <v>1</v>
      </c>
      <c r="D86" s="2274" t="s">
        <v>981</v>
      </c>
      <c r="E86" s="2152">
        <f t="shared" si="21"/>
        <v>27950</v>
      </c>
      <c r="F86" s="1877">
        <f t="shared" si="18"/>
        <v>0.75</v>
      </c>
      <c r="G86" s="1881">
        <f t="shared" si="19"/>
        <v>37270</v>
      </c>
      <c r="H86" s="1665">
        <f t="shared" si="20"/>
        <v>37270</v>
      </c>
    </row>
    <row r="87" spans="1:10" ht="15.6" customHeight="1" x14ac:dyDescent="0.25">
      <c r="A87" s="2041"/>
      <c r="B87" s="2053"/>
      <c r="C87" s="2054"/>
      <c r="D87" s="2055"/>
      <c r="E87" s="2152"/>
      <c r="F87" s="1877"/>
      <c r="G87" s="1881"/>
      <c r="H87" s="1665"/>
    </row>
    <row r="88" spans="1:10" x14ac:dyDescent="0.25">
      <c r="A88" s="2047" t="s">
        <v>890</v>
      </c>
      <c r="B88" s="2044" t="s">
        <v>915</v>
      </c>
      <c r="C88" s="2273"/>
      <c r="D88" s="2274"/>
      <c r="E88" s="2155"/>
      <c r="F88" s="2068"/>
      <c r="G88" s="2036"/>
      <c r="H88" s="2037"/>
    </row>
    <row r="89" spans="1:10" ht="48" customHeight="1" x14ac:dyDescent="0.25">
      <c r="A89" s="2041" t="s">
        <v>2575</v>
      </c>
      <c r="B89" s="2053" t="s">
        <v>2434</v>
      </c>
      <c r="C89" s="2273"/>
      <c r="D89" s="2055"/>
      <c r="E89" s="2152"/>
      <c r="F89" s="1877"/>
      <c r="G89" s="1881"/>
      <c r="H89" s="1665"/>
    </row>
    <row r="90" spans="1:10" x14ac:dyDescent="0.25">
      <c r="A90" s="2041"/>
      <c r="B90" s="2053" t="s">
        <v>2552</v>
      </c>
      <c r="C90" s="2273">
        <v>6</v>
      </c>
      <c r="D90" s="2055" t="s">
        <v>981</v>
      </c>
      <c r="E90" s="2152">
        <v>1350</v>
      </c>
      <c r="F90" s="1877">
        <f t="shared" ref="F90:F93" si="22">+$I$1</f>
        <v>0.75</v>
      </c>
      <c r="G90" s="1881">
        <f t="shared" ref="G90:G93" si="23">ROUNDUP(E90/F90,-1)</f>
        <v>1800</v>
      </c>
      <c r="H90" s="1665">
        <f t="shared" ref="H90:H93" si="24">+G90*C90</f>
        <v>10800</v>
      </c>
    </row>
    <row r="91" spans="1:10" x14ac:dyDescent="0.25">
      <c r="A91" s="2041"/>
      <c r="B91" s="2053" t="s">
        <v>2553</v>
      </c>
      <c r="C91" s="2273">
        <v>5</v>
      </c>
      <c r="D91" s="2055" t="s">
        <v>981</v>
      </c>
      <c r="E91" s="2152">
        <v>1350</v>
      </c>
      <c r="F91" s="1877">
        <f t="shared" si="22"/>
        <v>0.75</v>
      </c>
      <c r="G91" s="1881">
        <f t="shared" si="23"/>
        <v>1800</v>
      </c>
      <c r="H91" s="1665">
        <f t="shared" si="24"/>
        <v>9000</v>
      </c>
      <c r="J91" s="2043">
        <v>17700</v>
      </c>
    </row>
    <row r="92" spans="1:10" x14ac:dyDescent="0.25">
      <c r="A92" s="2041"/>
      <c r="B92" s="2053" t="s">
        <v>2554</v>
      </c>
      <c r="C92" s="2273">
        <v>5</v>
      </c>
      <c r="D92" s="2055" t="s">
        <v>981</v>
      </c>
      <c r="E92" s="2152">
        <v>1350</v>
      </c>
      <c r="F92" s="1877">
        <f t="shared" si="22"/>
        <v>0.75</v>
      </c>
      <c r="G92" s="1881">
        <f t="shared" si="23"/>
        <v>1800</v>
      </c>
      <c r="H92" s="1665">
        <f t="shared" si="24"/>
        <v>9000</v>
      </c>
      <c r="J92" s="2043">
        <v>9350</v>
      </c>
    </row>
    <row r="93" spans="1:10" x14ac:dyDescent="0.25">
      <c r="A93" s="2041"/>
      <c r="B93" s="2053" t="s">
        <v>2555</v>
      </c>
      <c r="C93" s="2273">
        <v>1</v>
      </c>
      <c r="D93" s="2055" t="s">
        <v>981</v>
      </c>
      <c r="E93" s="2152">
        <v>1350</v>
      </c>
      <c r="F93" s="1877">
        <f t="shared" si="22"/>
        <v>0.75</v>
      </c>
      <c r="G93" s="1881">
        <f t="shared" si="23"/>
        <v>1800</v>
      </c>
      <c r="H93" s="1665">
        <f t="shared" si="24"/>
        <v>1800</v>
      </c>
      <c r="J93" s="2043">
        <v>3850</v>
      </c>
    </row>
    <row r="94" spans="1:10" x14ac:dyDescent="0.25">
      <c r="A94" s="2041"/>
      <c r="B94" s="2053"/>
      <c r="C94" s="2273"/>
      <c r="D94" s="2055"/>
      <c r="E94" s="2152"/>
      <c r="F94" s="1877"/>
      <c r="G94" s="1881"/>
      <c r="H94" s="1665"/>
      <c r="J94" s="2043">
        <f>5690*3</f>
        <v>17070</v>
      </c>
    </row>
    <row r="95" spans="1:10" ht="31.2" x14ac:dyDescent="0.25">
      <c r="A95" s="2041" t="s">
        <v>2576</v>
      </c>
      <c r="B95" s="2042" t="s">
        <v>2422</v>
      </c>
      <c r="C95" s="2273"/>
      <c r="D95" s="2274"/>
      <c r="E95" s="2155"/>
      <c r="F95" s="1877"/>
      <c r="G95" s="1881"/>
      <c r="H95" s="1665"/>
      <c r="J95" s="2043">
        <f>2100*3</f>
        <v>6300</v>
      </c>
    </row>
    <row r="96" spans="1:10" x14ac:dyDescent="0.25">
      <c r="A96" s="2041"/>
      <c r="B96" s="2053" t="s">
        <v>2552</v>
      </c>
      <c r="C96" s="2273">
        <v>7</v>
      </c>
      <c r="D96" s="2055" t="s">
        <v>981</v>
      </c>
      <c r="E96" s="2155">
        <f t="shared" ref="E96:E99" si="25">4000+500</f>
        <v>4500</v>
      </c>
      <c r="F96" s="1877">
        <f t="shared" ref="F96:F99" si="26">+$I$1</f>
        <v>0.75</v>
      </c>
      <c r="G96" s="1881">
        <f t="shared" ref="G96:G99" si="27">ROUNDUP(E96/F96,-1)</f>
        <v>6000</v>
      </c>
      <c r="H96" s="1665">
        <f t="shared" ref="H96:H99" si="28">+G96*C96</f>
        <v>42000</v>
      </c>
      <c r="J96" s="2043">
        <f>725*36</f>
        <v>26100</v>
      </c>
    </row>
    <row r="97" spans="1:8" x14ac:dyDescent="0.25">
      <c r="A97" s="2041"/>
      <c r="B97" s="2053" t="s">
        <v>2553</v>
      </c>
      <c r="C97" s="2273">
        <v>9</v>
      </c>
      <c r="D97" s="2055" t="s">
        <v>981</v>
      </c>
      <c r="E97" s="2155">
        <f t="shared" si="25"/>
        <v>4500</v>
      </c>
      <c r="F97" s="1877">
        <f t="shared" si="26"/>
        <v>0.75</v>
      </c>
      <c r="G97" s="1881">
        <f t="shared" si="27"/>
        <v>6000</v>
      </c>
      <c r="H97" s="1665">
        <f t="shared" si="28"/>
        <v>54000</v>
      </c>
    </row>
    <row r="98" spans="1:8" x14ac:dyDescent="0.25">
      <c r="A98" s="2041"/>
      <c r="B98" s="2053" t="s">
        <v>2554</v>
      </c>
      <c r="C98" s="2273">
        <v>9</v>
      </c>
      <c r="D98" s="2055" t="s">
        <v>981</v>
      </c>
      <c r="E98" s="2155">
        <f t="shared" si="25"/>
        <v>4500</v>
      </c>
      <c r="F98" s="1877">
        <f t="shared" si="26"/>
        <v>0.75</v>
      </c>
      <c r="G98" s="1881">
        <f t="shared" si="27"/>
        <v>6000</v>
      </c>
      <c r="H98" s="1665">
        <f t="shared" si="28"/>
        <v>54000</v>
      </c>
    </row>
    <row r="99" spans="1:8" x14ac:dyDescent="0.25">
      <c r="A99" s="2041"/>
      <c r="B99" s="2053" t="s">
        <v>2555</v>
      </c>
      <c r="C99" s="2273">
        <v>2</v>
      </c>
      <c r="D99" s="2055" t="s">
        <v>981</v>
      </c>
      <c r="E99" s="2155">
        <f t="shared" si="25"/>
        <v>4500</v>
      </c>
      <c r="F99" s="2391">
        <f t="shared" si="26"/>
        <v>0.75</v>
      </c>
      <c r="G99" s="2348">
        <f t="shared" si="27"/>
        <v>6000</v>
      </c>
      <c r="H99" s="2349">
        <f t="shared" si="28"/>
        <v>12000</v>
      </c>
    </row>
    <row r="100" spans="1:8" x14ac:dyDescent="0.25">
      <c r="A100" s="2041"/>
      <c r="B100" s="2042"/>
      <c r="C100" s="2273"/>
      <c r="D100" s="2274"/>
      <c r="E100" s="2155"/>
      <c r="F100" s="1877"/>
      <c r="G100" s="1881"/>
      <c r="H100" s="1665"/>
    </row>
    <row r="101" spans="1:8" ht="16.2" thickBot="1" x14ac:dyDescent="0.3">
      <c r="A101" s="2045"/>
      <c r="B101" s="2051"/>
      <c r="C101" s="2048"/>
      <c r="D101" s="2038"/>
      <c r="E101" s="2156"/>
      <c r="F101" s="2069"/>
      <c r="G101" s="2039"/>
      <c r="H101" s="2040"/>
    </row>
    <row r="102" spans="1:8" ht="46.2" customHeight="1" x14ac:dyDescent="0.25">
      <c r="A102" s="2046" t="s">
        <v>2577</v>
      </c>
      <c r="B102" s="2052" t="s">
        <v>1424</v>
      </c>
      <c r="C102" s="2049"/>
      <c r="D102" s="2031"/>
      <c r="E102" s="2154"/>
      <c r="F102" s="2388"/>
      <c r="G102" s="2389"/>
      <c r="H102" s="2390"/>
    </row>
    <row r="103" spans="1:8" ht="16.8" customHeight="1" x14ac:dyDescent="0.25">
      <c r="A103" s="2041"/>
      <c r="B103" s="2053" t="s">
        <v>2552</v>
      </c>
      <c r="C103" s="2273">
        <v>45</v>
      </c>
      <c r="D103" s="2055" t="s">
        <v>981</v>
      </c>
      <c r="E103" s="2155">
        <f t="shared" ref="E103:E106" si="29">5000+700</f>
        <v>5700</v>
      </c>
      <c r="F103" s="2649">
        <f t="shared" ref="F103:F106" si="30">+$I$1</f>
        <v>0.75</v>
      </c>
      <c r="G103" s="2647">
        <f t="shared" ref="G103:G106" si="31">ROUNDUP(E103/F103,-1)</f>
        <v>7600</v>
      </c>
      <c r="H103" s="2648">
        <f t="shared" ref="H103:H106" si="32">+G103*C103</f>
        <v>342000</v>
      </c>
    </row>
    <row r="104" spans="1:8" ht="16.8" customHeight="1" x14ac:dyDescent="0.25">
      <c r="A104" s="2041"/>
      <c r="B104" s="2053" t="s">
        <v>2553</v>
      </c>
      <c r="C104" s="2273">
        <v>50</v>
      </c>
      <c r="D104" s="2055" t="s">
        <v>981</v>
      </c>
      <c r="E104" s="2155">
        <f t="shared" si="29"/>
        <v>5700</v>
      </c>
      <c r="F104" s="1877">
        <f t="shared" si="30"/>
        <v>0.75</v>
      </c>
      <c r="G104" s="1881">
        <f t="shared" si="31"/>
        <v>7600</v>
      </c>
      <c r="H104" s="1665">
        <f t="shared" si="32"/>
        <v>380000</v>
      </c>
    </row>
    <row r="105" spans="1:8" ht="16.8" customHeight="1" x14ac:dyDescent="0.25">
      <c r="A105" s="2041"/>
      <c r="B105" s="2053" t="s">
        <v>2554</v>
      </c>
      <c r="C105" s="2273">
        <v>50</v>
      </c>
      <c r="D105" s="2055" t="s">
        <v>981</v>
      </c>
      <c r="E105" s="2155">
        <f t="shared" si="29"/>
        <v>5700</v>
      </c>
      <c r="F105" s="1877">
        <f t="shared" si="30"/>
        <v>0.75</v>
      </c>
      <c r="G105" s="1881">
        <f t="shared" si="31"/>
        <v>7600</v>
      </c>
      <c r="H105" s="1665">
        <f t="shared" si="32"/>
        <v>380000</v>
      </c>
    </row>
    <row r="106" spans="1:8" ht="16.8" customHeight="1" x14ac:dyDescent="0.25">
      <c r="A106" s="2041"/>
      <c r="B106" s="2053" t="s">
        <v>2555</v>
      </c>
      <c r="C106" s="2273">
        <v>28</v>
      </c>
      <c r="D106" s="2055" t="s">
        <v>981</v>
      </c>
      <c r="E106" s="2155">
        <f t="shared" si="29"/>
        <v>5700</v>
      </c>
      <c r="F106" s="1877">
        <f t="shared" si="30"/>
        <v>0.75</v>
      </c>
      <c r="G106" s="1881">
        <f t="shared" si="31"/>
        <v>7600</v>
      </c>
      <c r="H106" s="1665">
        <f t="shared" si="32"/>
        <v>212800</v>
      </c>
    </row>
    <row r="107" spans="1:8" ht="16.8" customHeight="1" x14ac:dyDescent="0.25">
      <c r="A107" s="2041"/>
      <c r="B107" s="2042"/>
      <c r="C107" s="2273"/>
      <c r="D107" s="2274"/>
      <c r="E107" s="2155"/>
      <c r="F107" s="1877"/>
      <c r="G107" s="1881"/>
      <c r="H107" s="1665"/>
    </row>
    <row r="108" spans="1:8" x14ac:dyDescent="0.25">
      <c r="A108" s="2041"/>
      <c r="B108" s="2044"/>
      <c r="C108" s="2273"/>
      <c r="D108" s="2274"/>
      <c r="E108" s="2155"/>
      <c r="F108" s="2068"/>
      <c r="G108" s="2036"/>
      <c r="H108" s="2037"/>
    </row>
    <row r="109" spans="1:8" ht="46.8" hidden="1" x14ac:dyDescent="0.25">
      <c r="A109" s="2041"/>
      <c r="B109" s="2042" t="s">
        <v>1419</v>
      </c>
      <c r="C109" s="2273"/>
      <c r="D109" s="2274" t="s">
        <v>78</v>
      </c>
      <c r="E109" s="2155"/>
      <c r="F109" s="2068"/>
      <c r="G109" s="2036"/>
      <c r="H109" s="2037"/>
    </row>
    <row r="110" spans="1:8" hidden="1" x14ac:dyDescent="0.25">
      <c r="A110" s="2041"/>
      <c r="B110" s="2042"/>
      <c r="C110" s="2273"/>
      <c r="D110" s="2274"/>
      <c r="E110" s="2155"/>
      <c r="F110" s="2068"/>
      <c r="G110" s="2036"/>
      <c r="H110" s="2037"/>
    </row>
    <row r="111" spans="1:8" ht="31.2" x14ac:dyDescent="0.25">
      <c r="A111" s="2041" t="s">
        <v>2578</v>
      </c>
      <c r="B111" s="2042" t="s">
        <v>2579</v>
      </c>
      <c r="C111" s="2273"/>
      <c r="D111" s="2274"/>
      <c r="E111" s="2155"/>
      <c r="F111" s="1877"/>
      <c r="G111" s="1881"/>
      <c r="H111" s="1665"/>
    </row>
    <row r="112" spans="1:8" x14ac:dyDescent="0.25">
      <c r="A112" s="2041"/>
      <c r="B112" s="2053" t="s">
        <v>2552</v>
      </c>
      <c r="C112" s="2273">
        <v>2</v>
      </c>
      <c r="D112" s="2055" t="s">
        <v>981</v>
      </c>
      <c r="E112" s="2155">
        <f t="shared" ref="E112:E114" si="33">40000+3000</f>
        <v>43000</v>
      </c>
      <c r="F112" s="1877">
        <f>+$I$1</f>
        <v>0.75</v>
      </c>
      <c r="G112" s="1881">
        <f t="shared" ref="G112:G114" si="34">ROUNDUP(E112/F112,-1)</f>
        <v>57340</v>
      </c>
      <c r="H112" s="1665">
        <f t="shared" ref="H112:H114" si="35">+G112*C112</f>
        <v>114680</v>
      </c>
    </row>
    <row r="113" spans="1:8" x14ac:dyDescent="0.25">
      <c r="A113" s="2041"/>
      <c r="B113" s="2053" t="s">
        <v>2553</v>
      </c>
      <c r="C113" s="2273">
        <v>2</v>
      </c>
      <c r="D113" s="2055" t="s">
        <v>981</v>
      </c>
      <c r="E113" s="2155">
        <f t="shared" si="33"/>
        <v>43000</v>
      </c>
      <c r="F113" s="1877">
        <f t="shared" ref="F113:F114" si="36">+$I$1</f>
        <v>0.75</v>
      </c>
      <c r="G113" s="1881">
        <f t="shared" si="34"/>
        <v>57340</v>
      </c>
      <c r="H113" s="1665">
        <f t="shared" si="35"/>
        <v>114680</v>
      </c>
    </row>
    <row r="114" spans="1:8" x14ac:dyDescent="0.25">
      <c r="A114" s="2041"/>
      <c r="B114" s="2053" t="s">
        <v>2554</v>
      </c>
      <c r="C114" s="2273">
        <v>2</v>
      </c>
      <c r="D114" s="2055" t="s">
        <v>981</v>
      </c>
      <c r="E114" s="2155">
        <f t="shared" si="33"/>
        <v>43000</v>
      </c>
      <c r="F114" s="1877">
        <f t="shared" si="36"/>
        <v>0.75</v>
      </c>
      <c r="G114" s="1881">
        <f t="shared" si="34"/>
        <v>57340</v>
      </c>
      <c r="H114" s="1665">
        <f t="shared" si="35"/>
        <v>114680</v>
      </c>
    </row>
    <row r="115" spans="1:8" x14ac:dyDescent="0.25">
      <c r="A115" s="2041"/>
      <c r="B115" s="2053"/>
      <c r="C115" s="2273"/>
      <c r="D115" s="2055"/>
      <c r="E115" s="2155"/>
      <c r="F115" s="1877"/>
      <c r="G115" s="1881"/>
      <c r="H115" s="1665"/>
    </row>
    <row r="116" spans="1:8" ht="31.2" x14ac:dyDescent="0.25">
      <c r="A116" s="2041" t="s">
        <v>2580</v>
      </c>
      <c r="B116" s="2042" t="s">
        <v>2583</v>
      </c>
      <c r="C116" s="2273"/>
      <c r="D116" s="2274"/>
      <c r="E116" s="2155"/>
      <c r="F116" s="1877"/>
      <c r="G116" s="1881"/>
      <c r="H116" s="1665"/>
    </row>
    <row r="117" spans="1:8" x14ac:dyDescent="0.25">
      <c r="A117" s="2041"/>
      <c r="B117" s="2053" t="s">
        <v>2554</v>
      </c>
      <c r="C117" s="2273">
        <v>1</v>
      </c>
      <c r="D117" s="2055" t="s">
        <v>981</v>
      </c>
      <c r="E117" s="2155">
        <f>60000+4000</f>
        <v>64000</v>
      </c>
      <c r="F117" s="1877">
        <f t="shared" ref="F117" si="37">+$I$1</f>
        <v>0.75</v>
      </c>
      <c r="G117" s="1881">
        <f t="shared" ref="G117" si="38">ROUNDUP(E117/F117,-1)</f>
        <v>85340</v>
      </c>
      <c r="H117" s="1665">
        <f t="shared" ref="H117" si="39">+G117*C117</f>
        <v>85340</v>
      </c>
    </row>
    <row r="118" spans="1:8" x14ac:dyDescent="0.25">
      <c r="A118" s="2041"/>
      <c r="B118" s="2042"/>
      <c r="C118" s="2273"/>
      <c r="D118" s="2274"/>
      <c r="E118" s="2155"/>
      <c r="F118" s="1877"/>
      <c r="G118" s="1881"/>
      <c r="H118" s="1665"/>
    </row>
    <row r="119" spans="1:8" ht="30.6" customHeight="1" x14ac:dyDescent="0.25">
      <c r="A119" s="2041" t="s">
        <v>2581</v>
      </c>
      <c r="B119" s="2042" t="s">
        <v>2423</v>
      </c>
      <c r="C119" s="2273"/>
      <c r="D119" s="2274"/>
      <c r="E119" s="2155"/>
      <c r="F119" s="1877"/>
      <c r="G119" s="1881"/>
      <c r="H119" s="1665"/>
    </row>
    <row r="120" spans="1:8" x14ac:dyDescent="0.25">
      <c r="A120" s="2041"/>
      <c r="B120" s="2053" t="s">
        <v>2552</v>
      </c>
      <c r="C120" s="2273">
        <v>8</v>
      </c>
      <c r="D120" s="2055" t="s">
        <v>981</v>
      </c>
      <c r="E120" s="2155">
        <f t="shared" ref="E120:E123" si="40">5500+500</f>
        <v>6000</v>
      </c>
      <c r="F120" s="1877">
        <f>+$I$1</f>
        <v>0.75</v>
      </c>
      <c r="G120" s="1881">
        <f t="shared" ref="G120:G123" si="41">ROUNDUP(E120/F120,-1)</f>
        <v>8000</v>
      </c>
      <c r="H120" s="1665">
        <f t="shared" ref="H120:H123" si="42">+G120*C120</f>
        <v>64000</v>
      </c>
    </row>
    <row r="121" spans="1:8" x14ac:dyDescent="0.25">
      <c r="A121" s="2041"/>
      <c r="B121" s="2053" t="s">
        <v>2553</v>
      </c>
      <c r="C121" s="2273">
        <v>8</v>
      </c>
      <c r="D121" s="2055" t="s">
        <v>981</v>
      </c>
      <c r="E121" s="2155">
        <f t="shared" si="40"/>
        <v>6000</v>
      </c>
      <c r="F121" s="1877">
        <f t="shared" ref="F121:F123" si="43">+$I$1</f>
        <v>0.75</v>
      </c>
      <c r="G121" s="1881">
        <f t="shared" si="41"/>
        <v>8000</v>
      </c>
      <c r="H121" s="1665">
        <f t="shared" si="42"/>
        <v>64000</v>
      </c>
    </row>
    <row r="122" spans="1:8" x14ac:dyDescent="0.25">
      <c r="A122" s="2041"/>
      <c r="B122" s="2053" t="s">
        <v>2554</v>
      </c>
      <c r="C122" s="2273">
        <v>8</v>
      </c>
      <c r="D122" s="2055" t="s">
        <v>981</v>
      </c>
      <c r="E122" s="2155">
        <f t="shared" si="40"/>
        <v>6000</v>
      </c>
      <c r="F122" s="1877">
        <f t="shared" si="43"/>
        <v>0.75</v>
      </c>
      <c r="G122" s="1881">
        <f t="shared" si="41"/>
        <v>8000</v>
      </c>
      <c r="H122" s="1665">
        <f t="shared" si="42"/>
        <v>64000</v>
      </c>
    </row>
    <row r="123" spans="1:8" x14ac:dyDescent="0.25">
      <c r="A123" s="2041"/>
      <c r="B123" s="2053" t="s">
        <v>2555</v>
      </c>
      <c r="C123" s="2273">
        <v>3</v>
      </c>
      <c r="D123" s="2055" t="s">
        <v>981</v>
      </c>
      <c r="E123" s="2155">
        <f t="shared" si="40"/>
        <v>6000</v>
      </c>
      <c r="F123" s="1877">
        <f t="shared" si="43"/>
        <v>0.75</v>
      </c>
      <c r="G123" s="1881">
        <f t="shared" si="41"/>
        <v>8000</v>
      </c>
      <c r="H123" s="1665">
        <f t="shared" si="42"/>
        <v>24000</v>
      </c>
    </row>
    <row r="124" spans="1:8" x14ac:dyDescent="0.25">
      <c r="A124" s="2041"/>
      <c r="B124" s="2042"/>
      <c r="C124" s="2273"/>
      <c r="D124" s="2274"/>
      <c r="E124" s="2155"/>
      <c r="F124" s="1877"/>
      <c r="G124" s="1881"/>
      <c r="H124" s="1665"/>
    </row>
    <row r="125" spans="1:8" ht="31.2" x14ac:dyDescent="0.25">
      <c r="A125" s="2041" t="s">
        <v>2582</v>
      </c>
      <c r="B125" s="2042" t="s">
        <v>2428</v>
      </c>
      <c r="C125" s="2273"/>
      <c r="D125" s="2274"/>
      <c r="E125" s="2155"/>
      <c r="F125" s="1877"/>
      <c r="G125" s="1881"/>
      <c r="H125" s="1665"/>
    </row>
    <row r="126" spans="1:8" x14ac:dyDescent="0.25">
      <c r="A126" s="2041"/>
      <c r="B126" s="2053" t="s">
        <v>2552</v>
      </c>
      <c r="C126" s="2273">
        <v>5</v>
      </c>
      <c r="D126" s="2055" t="s">
        <v>981</v>
      </c>
      <c r="E126" s="2155">
        <f t="shared" ref="E126:E129" si="44">5500+500</f>
        <v>6000</v>
      </c>
      <c r="F126" s="1877">
        <f>+$I$1</f>
        <v>0.75</v>
      </c>
      <c r="G126" s="1881">
        <f t="shared" ref="G126:G129" si="45">ROUNDUP(E126/F126,-1)</f>
        <v>8000</v>
      </c>
      <c r="H126" s="1665">
        <f t="shared" ref="H126:H129" si="46">+G126*C126</f>
        <v>40000</v>
      </c>
    </row>
    <row r="127" spans="1:8" x14ac:dyDescent="0.25">
      <c r="A127" s="2041"/>
      <c r="B127" s="2053" t="s">
        <v>2553</v>
      </c>
      <c r="C127" s="2273">
        <v>2</v>
      </c>
      <c r="D127" s="2055" t="s">
        <v>981</v>
      </c>
      <c r="E127" s="2155">
        <f t="shared" si="44"/>
        <v>6000</v>
      </c>
      <c r="F127" s="1877">
        <f t="shared" ref="F127:F129" si="47">+$I$1</f>
        <v>0.75</v>
      </c>
      <c r="G127" s="1881">
        <f t="shared" si="45"/>
        <v>8000</v>
      </c>
      <c r="H127" s="1665">
        <f t="shared" si="46"/>
        <v>16000</v>
      </c>
    </row>
    <row r="128" spans="1:8" x14ac:dyDescent="0.25">
      <c r="A128" s="2041"/>
      <c r="B128" s="2053" t="s">
        <v>2554</v>
      </c>
      <c r="C128" s="2273">
        <v>2</v>
      </c>
      <c r="D128" s="2055" t="s">
        <v>981</v>
      </c>
      <c r="E128" s="2155">
        <f t="shared" si="44"/>
        <v>6000</v>
      </c>
      <c r="F128" s="1877">
        <f t="shared" si="47"/>
        <v>0.75</v>
      </c>
      <c r="G128" s="1881">
        <f t="shared" si="45"/>
        <v>8000</v>
      </c>
      <c r="H128" s="1665">
        <f t="shared" si="46"/>
        <v>16000</v>
      </c>
    </row>
    <row r="129" spans="1:8" x14ac:dyDescent="0.25">
      <c r="A129" s="2041"/>
      <c r="B129" s="2053" t="s">
        <v>2555</v>
      </c>
      <c r="C129" s="2273">
        <v>6</v>
      </c>
      <c r="D129" s="2055" t="s">
        <v>981</v>
      </c>
      <c r="E129" s="2155">
        <f t="shared" si="44"/>
        <v>6000</v>
      </c>
      <c r="F129" s="1877">
        <f t="shared" si="47"/>
        <v>0.75</v>
      </c>
      <c r="G129" s="1881">
        <f t="shared" si="45"/>
        <v>8000</v>
      </c>
      <c r="H129" s="1665">
        <f t="shared" si="46"/>
        <v>48000</v>
      </c>
    </row>
    <row r="130" spans="1:8" x14ac:dyDescent="0.25">
      <c r="A130" s="2041"/>
      <c r="B130" s="2042"/>
      <c r="C130" s="2273"/>
      <c r="D130" s="2274"/>
      <c r="E130" s="2155"/>
      <c r="F130" s="1877"/>
      <c r="G130" s="1881"/>
      <c r="H130" s="1665"/>
    </row>
    <row r="131" spans="1:8" ht="35.4" customHeight="1" x14ac:dyDescent="0.25">
      <c r="A131" s="2041" t="s">
        <v>2584</v>
      </c>
      <c r="B131" s="2042" t="s">
        <v>2585</v>
      </c>
      <c r="C131" s="2273"/>
      <c r="D131" s="2274"/>
      <c r="E131" s="2155"/>
      <c r="F131" s="1877"/>
      <c r="G131" s="1881"/>
      <c r="H131" s="1665"/>
    </row>
    <row r="132" spans="1:8" x14ac:dyDescent="0.25">
      <c r="A132" s="2041"/>
      <c r="B132" s="2042" t="s">
        <v>2552</v>
      </c>
      <c r="C132" s="2273">
        <v>2</v>
      </c>
      <c r="D132" s="2274" t="s">
        <v>981</v>
      </c>
      <c r="E132" s="2155">
        <v>45000</v>
      </c>
      <c r="F132" s="1877">
        <f t="shared" ref="F132:F135" si="48">+$I$1</f>
        <v>0.75</v>
      </c>
      <c r="G132" s="1881">
        <f t="shared" ref="G132:G135" si="49">ROUNDUP(E132/F132,-1)</f>
        <v>60000</v>
      </c>
      <c r="H132" s="1665">
        <f t="shared" ref="H132:H135" si="50">+G132*C132</f>
        <v>120000</v>
      </c>
    </row>
    <row r="133" spans="1:8" x14ac:dyDescent="0.25">
      <c r="A133" s="2041"/>
      <c r="B133" s="2042" t="s">
        <v>2553</v>
      </c>
      <c r="C133" s="2273">
        <v>3</v>
      </c>
      <c r="D133" s="2274" t="s">
        <v>981</v>
      </c>
      <c r="E133" s="2155">
        <v>45000</v>
      </c>
      <c r="F133" s="1877">
        <f t="shared" si="48"/>
        <v>0.75</v>
      </c>
      <c r="G133" s="1881">
        <f t="shared" si="49"/>
        <v>60000</v>
      </c>
      <c r="H133" s="1665">
        <f t="shared" si="50"/>
        <v>180000</v>
      </c>
    </row>
    <row r="134" spans="1:8" x14ac:dyDescent="0.25">
      <c r="A134" s="2041"/>
      <c r="B134" s="2042" t="s">
        <v>2554</v>
      </c>
      <c r="C134" s="2273">
        <v>3</v>
      </c>
      <c r="D134" s="2274" t="s">
        <v>981</v>
      </c>
      <c r="E134" s="2155">
        <v>45000</v>
      </c>
      <c r="F134" s="1877">
        <f t="shared" si="48"/>
        <v>0.75</v>
      </c>
      <c r="G134" s="1881">
        <f t="shared" si="49"/>
        <v>60000</v>
      </c>
      <c r="H134" s="1665">
        <f t="shared" si="50"/>
        <v>180000</v>
      </c>
    </row>
    <row r="135" spans="1:8" x14ac:dyDescent="0.25">
      <c r="A135" s="2041"/>
      <c r="B135" s="2042" t="s">
        <v>2555</v>
      </c>
      <c r="C135" s="2273">
        <v>2</v>
      </c>
      <c r="D135" s="2274" t="s">
        <v>981</v>
      </c>
      <c r="E135" s="2155">
        <v>45000</v>
      </c>
      <c r="F135" s="2391">
        <f t="shared" si="48"/>
        <v>0.75</v>
      </c>
      <c r="G135" s="2348">
        <f t="shared" si="49"/>
        <v>60000</v>
      </c>
      <c r="H135" s="2349">
        <f t="shared" si="50"/>
        <v>120000</v>
      </c>
    </row>
    <row r="136" spans="1:8" ht="16.2" thickBot="1" x14ac:dyDescent="0.3">
      <c r="A136" s="2045"/>
      <c r="B136" s="2383"/>
      <c r="C136" s="2048"/>
      <c r="D136" s="2038"/>
      <c r="E136" s="2156"/>
      <c r="F136" s="2223"/>
      <c r="G136" s="2372"/>
      <c r="H136" s="2225"/>
    </row>
    <row r="137" spans="1:8" x14ac:dyDescent="0.25">
      <c r="A137" s="2046"/>
      <c r="B137" s="2052"/>
      <c r="C137" s="2049"/>
      <c r="D137" s="2031"/>
      <c r="E137" s="2154"/>
      <c r="F137" s="2392"/>
      <c r="G137" s="2393"/>
      <c r="H137" s="2394"/>
    </row>
    <row r="138" spans="1:8" x14ac:dyDescent="0.25">
      <c r="A138" s="2041"/>
      <c r="B138" s="2042"/>
      <c r="C138" s="2273"/>
      <c r="D138" s="2274"/>
      <c r="E138" s="2155"/>
      <c r="F138" s="1877"/>
      <c r="G138" s="1881"/>
      <c r="H138" s="1665"/>
    </row>
    <row r="139" spans="1:8" ht="31.2" x14ac:dyDescent="0.25">
      <c r="A139" s="2041" t="s">
        <v>2586</v>
      </c>
      <c r="B139" s="2042" t="s">
        <v>1420</v>
      </c>
      <c r="C139" s="2273"/>
      <c r="D139" s="2274"/>
      <c r="E139" s="2155"/>
      <c r="F139" s="1877"/>
      <c r="G139" s="1881"/>
      <c r="H139" s="1665"/>
    </row>
    <row r="140" spans="1:8" x14ac:dyDescent="0.25">
      <c r="A140" s="2041"/>
      <c r="B140" s="2053" t="s">
        <v>2552</v>
      </c>
      <c r="C140" s="2273">
        <v>2</v>
      </c>
      <c r="D140" s="2055" t="s">
        <v>981</v>
      </c>
      <c r="E140" s="2155">
        <f t="shared" ref="E140:E143" si="51">2500+500</f>
        <v>3000</v>
      </c>
      <c r="F140" s="1877">
        <f>+$I$1</f>
        <v>0.75</v>
      </c>
      <c r="G140" s="1881">
        <f t="shared" ref="G140:G143" si="52">ROUNDUP(E140/F140,-1)</f>
        <v>4000</v>
      </c>
      <c r="H140" s="1665">
        <f t="shared" ref="H140:H143" si="53">+G140*C140</f>
        <v>8000</v>
      </c>
    </row>
    <row r="141" spans="1:8" x14ac:dyDescent="0.25">
      <c r="A141" s="2041"/>
      <c r="B141" s="2053" t="s">
        <v>2553</v>
      </c>
      <c r="C141" s="2273">
        <v>3</v>
      </c>
      <c r="D141" s="2055" t="s">
        <v>981</v>
      </c>
      <c r="E141" s="2155">
        <f t="shared" si="51"/>
        <v>3000</v>
      </c>
      <c r="F141" s="1877">
        <f t="shared" ref="F141:F143" si="54">+$I$1</f>
        <v>0.75</v>
      </c>
      <c r="G141" s="1881">
        <f t="shared" si="52"/>
        <v>4000</v>
      </c>
      <c r="H141" s="1665">
        <f t="shared" si="53"/>
        <v>12000</v>
      </c>
    </row>
    <row r="142" spans="1:8" x14ac:dyDescent="0.25">
      <c r="A142" s="2041"/>
      <c r="B142" s="2053" t="s">
        <v>2554</v>
      </c>
      <c r="C142" s="2273">
        <v>3</v>
      </c>
      <c r="D142" s="2055" t="s">
        <v>981</v>
      </c>
      <c r="E142" s="2155">
        <f t="shared" si="51"/>
        <v>3000</v>
      </c>
      <c r="F142" s="1877">
        <f t="shared" si="54"/>
        <v>0.75</v>
      </c>
      <c r="G142" s="1881">
        <f t="shared" si="52"/>
        <v>4000</v>
      </c>
      <c r="H142" s="1665">
        <f t="shared" si="53"/>
        <v>12000</v>
      </c>
    </row>
    <row r="143" spans="1:8" x14ac:dyDescent="0.25">
      <c r="A143" s="2041"/>
      <c r="B143" s="2053" t="s">
        <v>2555</v>
      </c>
      <c r="C143" s="2273">
        <v>1</v>
      </c>
      <c r="D143" s="2055" t="s">
        <v>981</v>
      </c>
      <c r="E143" s="2155">
        <f t="shared" si="51"/>
        <v>3000</v>
      </c>
      <c r="F143" s="1877">
        <f t="shared" si="54"/>
        <v>0.75</v>
      </c>
      <c r="G143" s="1881">
        <f t="shared" si="52"/>
        <v>4000</v>
      </c>
      <c r="H143" s="1665">
        <f t="shared" si="53"/>
        <v>4000</v>
      </c>
    </row>
    <row r="144" spans="1:8" x14ac:dyDescent="0.25">
      <c r="A144" s="2041"/>
      <c r="B144" s="2050"/>
      <c r="C144" s="2273"/>
      <c r="D144" s="2274"/>
      <c r="E144" s="2155"/>
      <c r="F144" s="2068"/>
      <c r="G144" s="2036"/>
      <c r="H144" s="2037"/>
    </row>
    <row r="145" spans="1:8" ht="46.8" hidden="1" x14ac:dyDescent="0.25">
      <c r="A145" s="2035"/>
      <c r="B145" s="2042" t="s">
        <v>2424</v>
      </c>
      <c r="C145" s="2273"/>
      <c r="D145" s="2274" t="s">
        <v>78</v>
      </c>
      <c r="E145" s="2155"/>
      <c r="F145" s="2068"/>
      <c r="G145" s="2036"/>
      <c r="H145" s="2037"/>
    </row>
    <row r="146" spans="1:8" hidden="1" x14ac:dyDescent="0.25">
      <c r="A146" s="2035"/>
      <c r="B146" s="2042"/>
      <c r="C146" s="2273"/>
      <c r="D146" s="2274"/>
      <c r="E146" s="2155"/>
      <c r="F146" s="2068"/>
      <c r="G146" s="2036"/>
      <c r="H146" s="2037"/>
    </row>
    <row r="147" spans="1:8" ht="46.8" hidden="1" x14ac:dyDescent="0.25">
      <c r="A147" s="2035"/>
      <c r="B147" s="2042" t="s">
        <v>2425</v>
      </c>
      <c r="C147" s="2273"/>
      <c r="D147" s="2274" t="s">
        <v>78</v>
      </c>
      <c r="E147" s="2155"/>
      <c r="F147" s="2068"/>
      <c r="G147" s="2036"/>
      <c r="H147" s="2037"/>
    </row>
    <row r="148" spans="1:8" hidden="1" x14ac:dyDescent="0.25">
      <c r="A148" s="2035"/>
      <c r="B148" s="2042"/>
      <c r="C148" s="2273"/>
      <c r="D148" s="2274"/>
      <c r="E148" s="2155"/>
      <c r="F148" s="2068"/>
      <c r="G148" s="2036"/>
      <c r="H148" s="2037"/>
    </row>
    <row r="149" spans="1:8" ht="31.2" hidden="1" x14ac:dyDescent="0.25">
      <c r="A149" s="2035" t="e">
        <f>#REF!+0.01</f>
        <v>#REF!</v>
      </c>
      <c r="B149" s="2042" t="s">
        <v>1418</v>
      </c>
      <c r="C149" s="2273"/>
      <c r="D149" s="2274" t="s">
        <v>78</v>
      </c>
      <c r="E149" s="2155"/>
      <c r="F149" s="2068"/>
      <c r="G149" s="2036"/>
      <c r="H149" s="2037"/>
    </row>
    <row r="150" spans="1:8" ht="46.8" x14ac:dyDescent="0.25">
      <c r="A150" s="2035" t="s">
        <v>2587</v>
      </c>
      <c r="B150" s="2042" t="s">
        <v>1419</v>
      </c>
      <c r="C150" s="2273"/>
      <c r="D150" s="2274"/>
      <c r="E150" s="2155"/>
      <c r="F150" s="1877"/>
      <c r="G150" s="1881"/>
      <c r="H150" s="1665"/>
    </row>
    <row r="151" spans="1:8" x14ac:dyDescent="0.25">
      <c r="A151" s="2035"/>
      <c r="B151" s="2053" t="s">
        <v>2552</v>
      </c>
      <c r="C151" s="2273">
        <v>2</v>
      </c>
      <c r="D151" s="2274" t="s">
        <v>78</v>
      </c>
      <c r="E151" s="2155">
        <f t="shared" ref="E151:E154" si="55">5000+650</f>
        <v>5650</v>
      </c>
      <c r="F151" s="1877">
        <f t="shared" ref="F151:F154" si="56">+$I$1</f>
        <v>0.75</v>
      </c>
      <c r="G151" s="1881">
        <f t="shared" ref="G151:G154" si="57">ROUNDUP(E151/F151,-1)</f>
        <v>7540</v>
      </c>
      <c r="H151" s="1665">
        <f t="shared" ref="H151:H154" si="58">+G151*C151</f>
        <v>15080</v>
      </c>
    </row>
    <row r="152" spans="1:8" x14ac:dyDescent="0.25">
      <c r="A152" s="2035"/>
      <c r="B152" s="2053" t="s">
        <v>2553</v>
      </c>
      <c r="C152" s="2273">
        <v>2</v>
      </c>
      <c r="D152" s="2274" t="s">
        <v>78</v>
      </c>
      <c r="E152" s="2155">
        <f t="shared" si="55"/>
        <v>5650</v>
      </c>
      <c r="F152" s="1877">
        <f t="shared" si="56"/>
        <v>0.75</v>
      </c>
      <c r="G152" s="1881">
        <f t="shared" si="57"/>
        <v>7540</v>
      </c>
      <c r="H152" s="1665">
        <f t="shared" si="58"/>
        <v>15080</v>
      </c>
    </row>
    <row r="153" spans="1:8" x14ac:dyDescent="0.25">
      <c r="A153" s="2035"/>
      <c r="B153" s="2053" t="s">
        <v>2554</v>
      </c>
      <c r="C153" s="2273">
        <v>2</v>
      </c>
      <c r="D153" s="2274" t="s">
        <v>78</v>
      </c>
      <c r="E153" s="2155">
        <f t="shared" si="55"/>
        <v>5650</v>
      </c>
      <c r="F153" s="1877">
        <f t="shared" si="56"/>
        <v>0.75</v>
      </c>
      <c r="G153" s="1881">
        <f t="shared" si="57"/>
        <v>7540</v>
      </c>
      <c r="H153" s="1665">
        <f t="shared" si="58"/>
        <v>15080</v>
      </c>
    </row>
    <row r="154" spans="1:8" x14ac:dyDescent="0.25">
      <c r="A154" s="2035"/>
      <c r="B154" s="2053" t="s">
        <v>2555</v>
      </c>
      <c r="C154" s="2273">
        <v>1</v>
      </c>
      <c r="D154" s="2274" t="s">
        <v>78</v>
      </c>
      <c r="E154" s="2155">
        <f t="shared" si="55"/>
        <v>5650</v>
      </c>
      <c r="F154" s="1877">
        <f t="shared" si="56"/>
        <v>0.75</v>
      </c>
      <c r="G154" s="1881">
        <f t="shared" si="57"/>
        <v>7540</v>
      </c>
      <c r="H154" s="1665">
        <f t="shared" si="58"/>
        <v>7540</v>
      </c>
    </row>
    <row r="155" spans="1:8" ht="46.8" hidden="1" x14ac:dyDescent="0.25">
      <c r="A155" s="2035"/>
      <c r="B155" s="2042" t="s">
        <v>2426</v>
      </c>
      <c r="C155" s="2273"/>
      <c r="D155" s="2274" t="s">
        <v>78</v>
      </c>
      <c r="E155" s="2155"/>
      <c r="F155" s="2068"/>
      <c r="G155" s="2036"/>
      <c r="H155" s="2037"/>
    </row>
    <row r="156" spans="1:8" hidden="1" x14ac:dyDescent="0.25">
      <c r="A156" s="2035"/>
      <c r="B156" s="2044"/>
      <c r="C156" s="2273"/>
      <c r="D156" s="2274"/>
      <c r="E156" s="2155"/>
      <c r="F156" s="2068"/>
      <c r="G156" s="2036"/>
      <c r="H156" s="2037"/>
    </row>
    <row r="157" spans="1:8" ht="31.2" hidden="1" x14ac:dyDescent="0.25">
      <c r="A157" s="2035"/>
      <c r="B157" s="2042" t="s">
        <v>2427</v>
      </c>
      <c r="C157" s="2273"/>
      <c r="D157" s="2274" t="s">
        <v>78</v>
      </c>
      <c r="E157" s="2155"/>
      <c r="F157" s="2068"/>
      <c r="G157" s="2036"/>
      <c r="H157" s="2037"/>
    </row>
    <row r="158" spans="1:8" x14ac:dyDescent="0.25">
      <c r="A158" s="2041"/>
      <c r="B158" s="2042"/>
      <c r="C158" s="2273"/>
      <c r="D158" s="2274"/>
      <c r="E158" s="2155"/>
      <c r="F158" s="2068"/>
      <c r="G158" s="2036"/>
      <c r="H158" s="2037"/>
    </row>
    <row r="159" spans="1:8" ht="109.2" hidden="1" x14ac:dyDescent="0.25">
      <c r="A159" s="2035"/>
      <c r="B159" s="2053" t="s">
        <v>2432</v>
      </c>
      <c r="C159" s="2054"/>
      <c r="D159" s="2055" t="s">
        <v>981</v>
      </c>
      <c r="E159" s="2152"/>
      <c r="F159" s="2070"/>
      <c r="G159" s="2056"/>
      <c r="H159" s="2037"/>
    </row>
    <row r="160" spans="1:8" hidden="1" x14ac:dyDescent="0.25">
      <c r="A160" s="2035"/>
      <c r="B160" s="2050"/>
      <c r="C160" s="2273"/>
      <c r="D160" s="2274"/>
      <c r="E160" s="2155"/>
      <c r="F160" s="2068"/>
      <c r="G160" s="2036"/>
      <c r="H160" s="2037"/>
    </row>
    <row r="161" spans="1:8" ht="109.2" hidden="1" x14ac:dyDescent="0.25">
      <c r="A161" s="2035"/>
      <c r="B161" s="2053" t="s">
        <v>2433</v>
      </c>
      <c r="C161" s="2054"/>
      <c r="D161" s="2055" t="s">
        <v>981</v>
      </c>
      <c r="E161" s="2152"/>
      <c r="F161" s="2070"/>
      <c r="G161" s="2056"/>
      <c r="H161" s="2037"/>
    </row>
    <row r="162" spans="1:8" hidden="1" x14ac:dyDescent="0.25">
      <c r="A162" s="2035"/>
      <c r="B162" s="2053"/>
      <c r="C162" s="2054"/>
      <c r="D162" s="2055"/>
      <c r="E162" s="2152"/>
      <c r="F162" s="2070"/>
      <c r="G162" s="2056"/>
      <c r="H162" s="2037"/>
    </row>
    <row r="163" spans="1:8" x14ac:dyDescent="0.25">
      <c r="A163" s="2035" t="s">
        <v>899</v>
      </c>
      <c r="B163" s="2053" t="s">
        <v>2693</v>
      </c>
      <c r="C163" s="2054">
        <v>1</v>
      </c>
      <c r="D163" s="2055" t="s">
        <v>2515</v>
      </c>
      <c r="E163" s="2152"/>
      <c r="F163" s="2070"/>
      <c r="G163" s="2056"/>
      <c r="H163" s="2037">
        <v>400000</v>
      </c>
    </row>
    <row r="164" spans="1:8" x14ac:dyDescent="0.25">
      <c r="A164" s="2035"/>
      <c r="B164" s="2042"/>
      <c r="C164" s="2273"/>
      <c r="D164" s="2274"/>
      <c r="E164" s="2155"/>
      <c r="F164" s="2068"/>
      <c r="G164" s="2036"/>
      <c r="H164" s="2037"/>
    </row>
    <row r="165" spans="1:8" x14ac:dyDescent="0.25">
      <c r="A165" s="2041" t="s">
        <v>1051</v>
      </c>
      <c r="B165" s="2042" t="s">
        <v>106</v>
      </c>
      <c r="C165" s="2273"/>
      <c r="D165" s="2274"/>
      <c r="E165" s="2155"/>
      <c r="F165" s="2068"/>
      <c r="G165" s="2036"/>
      <c r="H165" s="2037"/>
    </row>
    <row r="166" spans="1:8" s="2034" customFormat="1" ht="45" customHeight="1" x14ac:dyDescent="0.25">
      <c r="A166" s="2035"/>
      <c r="B166" s="2150" t="s">
        <v>1332</v>
      </c>
      <c r="C166" s="2273">
        <v>1</v>
      </c>
      <c r="D166" s="2274" t="s">
        <v>900</v>
      </c>
      <c r="E166" s="2155">
        <v>55000</v>
      </c>
      <c r="F166" s="2391">
        <f>+$I$1</f>
        <v>0.75</v>
      </c>
      <c r="G166" s="2348">
        <f>ROUNDUP(E166/F166,-1)</f>
        <v>73340</v>
      </c>
      <c r="H166" s="2349">
        <f>+G166*C166</f>
        <v>73340</v>
      </c>
    </row>
    <row r="167" spans="1:8" ht="135.6" hidden="1" customHeight="1" x14ac:dyDescent="0.25">
      <c r="A167" s="2057" t="s">
        <v>1052</v>
      </c>
      <c r="B167" s="2042" t="s">
        <v>1129</v>
      </c>
      <c r="C167" s="2273"/>
      <c r="D167" s="2274" t="s">
        <v>900</v>
      </c>
      <c r="E167" s="2155"/>
      <c r="F167" s="2068"/>
      <c r="G167" s="2036"/>
      <c r="H167" s="2037"/>
    </row>
    <row r="168" spans="1:8" hidden="1" x14ac:dyDescent="0.25">
      <c r="A168" s="2047"/>
      <c r="B168" s="2044"/>
      <c r="C168" s="2273"/>
      <c r="D168" s="2274"/>
      <c r="E168" s="2155"/>
      <c r="F168" s="2068"/>
      <c r="G168" s="2036"/>
      <c r="H168" s="2037"/>
    </row>
    <row r="169" spans="1:8" ht="51" hidden="1" customHeight="1" x14ac:dyDescent="0.25">
      <c r="A169" s="2057" t="s">
        <v>1053</v>
      </c>
      <c r="B169" s="2042" t="s">
        <v>1128</v>
      </c>
      <c r="C169" s="2273"/>
      <c r="D169" s="2274" t="s">
        <v>900</v>
      </c>
      <c r="E169" s="2155"/>
      <c r="F169" s="2068"/>
      <c r="G169" s="2036"/>
      <c r="H169" s="2037"/>
    </row>
    <row r="170" spans="1:8" hidden="1" x14ac:dyDescent="0.25">
      <c r="A170" s="2041"/>
      <c r="B170" s="2044"/>
      <c r="C170" s="2273"/>
      <c r="D170" s="2274"/>
      <c r="E170" s="2155"/>
      <c r="F170" s="2068"/>
      <c r="G170" s="2036"/>
      <c r="H170" s="2037"/>
    </row>
    <row r="171" spans="1:8" ht="78" hidden="1" x14ac:dyDescent="0.25">
      <c r="A171" s="2057" t="s">
        <v>1329</v>
      </c>
      <c r="B171" s="2058" t="s">
        <v>859</v>
      </c>
      <c r="C171" s="2059"/>
      <c r="D171" s="2060" t="s">
        <v>56</v>
      </c>
      <c r="E171" s="2155"/>
      <c r="F171" s="2068"/>
      <c r="G171" s="2061"/>
      <c r="H171" s="2062"/>
    </row>
    <row r="172" spans="1:8" ht="31.2" hidden="1" x14ac:dyDescent="0.25">
      <c r="A172" s="2057" t="s">
        <v>1334</v>
      </c>
      <c r="B172" s="2058" t="s">
        <v>1333</v>
      </c>
      <c r="C172" s="2059"/>
      <c r="D172" s="2060" t="s">
        <v>56</v>
      </c>
      <c r="E172" s="2155"/>
      <c r="F172" s="2068"/>
      <c r="G172" s="2061"/>
      <c r="H172" s="2062"/>
    </row>
    <row r="173" spans="1:8" x14ac:dyDescent="0.25">
      <c r="A173" s="2057"/>
      <c r="B173" s="2058"/>
      <c r="C173" s="2059"/>
      <c r="D173" s="2060"/>
      <c r="E173" s="2155"/>
      <c r="F173" s="2068"/>
      <c r="G173" s="2061"/>
      <c r="H173" s="2062"/>
    </row>
    <row r="174" spans="1:8" s="2034" customFormat="1" ht="31.8" customHeight="1" thickBot="1" x14ac:dyDescent="0.3">
      <c r="A174" s="2344"/>
      <c r="B174" s="2844" t="s">
        <v>742</v>
      </c>
      <c r="C174" s="2845"/>
      <c r="D174" s="2845"/>
      <c r="E174" s="2845"/>
      <c r="F174" s="2845"/>
      <c r="G174" s="2395"/>
      <c r="H174" s="2345">
        <f>SUM(H3:H173)</f>
        <v>7265890</v>
      </c>
    </row>
  </sheetData>
  <protectedRanges>
    <protectedRange password="D55D" sqref="B70" name="Range1_3_1_1_6_9_3"/>
    <protectedRange password="D55D" sqref="B76 B159" name="Range1_3_1_1_6_7_7"/>
  </protectedRanges>
  <mergeCells count="5">
    <mergeCell ref="C24:C26"/>
    <mergeCell ref="D24:D26"/>
    <mergeCell ref="C29:C30"/>
    <mergeCell ref="D29:D30"/>
    <mergeCell ref="B174:F174"/>
  </mergeCells>
  <pageMargins left="0.51181102362204722" right="0.27559055118110237" top="0.51181102362204722" bottom="0.23622047244094491" header="0.39370078740157483" footer="0.23622047244094491"/>
  <pageSetup orientation="portrait" r:id="rId1"/>
  <headerFooter alignWithMargins="0">
    <oddFooter>&amp;C&amp;P</oddFooter>
  </headerFooter>
  <rowBreaks count="4" manualBreakCount="4">
    <brk id="30" max="7" man="1"/>
    <brk id="74" max="7" man="1"/>
    <brk id="101" max="7" man="1"/>
    <brk id="136" max="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3AF82-B43F-448B-BF67-1346480220D3}">
  <sheetPr>
    <tabColor rgb="FF002060"/>
  </sheetPr>
  <dimension ref="A1:L107"/>
  <sheetViews>
    <sheetView view="pageBreakPreview" topLeftCell="A97" zoomScaleNormal="85" zoomScaleSheetLayoutView="100" workbookViewId="0">
      <selection activeCell="B36" sqref="B36"/>
    </sheetView>
  </sheetViews>
  <sheetFormatPr defaultColWidth="9.21875" defaultRowHeight="13.8" x14ac:dyDescent="0.25"/>
  <cols>
    <col min="1" max="1" width="6.5546875" style="2145" bestFit="1" customWidth="1"/>
    <col min="2" max="2" width="60" style="2146" customWidth="1"/>
    <col min="3" max="3" width="8.77734375" style="2147" customWidth="1"/>
    <col min="4" max="4" width="6.21875" style="2148" customWidth="1"/>
    <col min="5" max="5" width="10.109375" style="2149" hidden="1" customWidth="1"/>
    <col min="6" max="6" width="11.33203125" style="2149" hidden="1" customWidth="1"/>
    <col min="7" max="7" width="13.33203125" style="2147" bestFit="1" customWidth="1"/>
    <col min="8" max="8" width="13.33203125" style="2148" bestFit="1" customWidth="1"/>
    <col min="9" max="9" width="11.21875" style="2101" bestFit="1" customWidth="1"/>
    <col min="10" max="10" width="12.5546875" style="2101" bestFit="1" customWidth="1"/>
    <col min="11" max="11" width="10.44140625" style="2101" bestFit="1" customWidth="1"/>
    <col min="12" max="12" width="13.33203125" style="2101" bestFit="1" customWidth="1"/>
    <col min="13" max="14" width="13" style="2101" bestFit="1" customWidth="1"/>
    <col min="15" max="15" width="12.88671875" style="2101" bestFit="1" customWidth="1"/>
    <col min="16" max="16" width="10.109375" style="2101" bestFit="1" customWidth="1"/>
    <col min="17" max="17" width="9.33203125" style="2101" bestFit="1" customWidth="1"/>
    <col min="18" max="16384" width="9.21875" style="2101"/>
  </cols>
  <sheetData>
    <row r="1" spans="1:10" s="2093" customFormat="1" ht="14.4" thickBot="1" x14ac:dyDescent="0.3">
      <c r="A1" s="2087" t="s">
        <v>0</v>
      </c>
      <c r="B1" s="2088" t="s">
        <v>1</v>
      </c>
      <c r="C1" s="2089" t="s">
        <v>2</v>
      </c>
      <c r="D1" s="2090" t="s">
        <v>3</v>
      </c>
      <c r="E1" s="2091" t="s">
        <v>2326</v>
      </c>
      <c r="F1" s="2091" t="s">
        <v>2327</v>
      </c>
      <c r="G1" s="2089" t="s">
        <v>4</v>
      </c>
      <c r="H1" s="2092" t="s">
        <v>5</v>
      </c>
      <c r="I1" s="2093">
        <f>+summary!D17</f>
        <v>0.85</v>
      </c>
    </row>
    <row r="2" spans="1:10" ht="14.4" thickBot="1" x14ac:dyDescent="0.3">
      <c r="A2" s="2094"/>
      <c r="B2" s="2095" t="s">
        <v>2721</v>
      </c>
      <c r="C2" s="2096"/>
      <c r="D2" s="2097"/>
      <c r="E2" s="2098"/>
      <c r="F2" s="2098"/>
      <c r="G2" s="2099"/>
      <c r="H2" s="2100"/>
    </row>
    <row r="3" spans="1:10" ht="14.4" hidden="1" thickBot="1" x14ac:dyDescent="0.3">
      <c r="A3" s="2122">
        <v>1</v>
      </c>
      <c r="B3" s="2115" t="s">
        <v>1255</v>
      </c>
      <c r="C3" s="2104"/>
      <c r="D3" s="2105"/>
      <c r="E3" s="2106"/>
      <c r="F3" s="2106"/>
      <c r="G3" s="2107"/>
      <c r="H3" s="2108"/>
    </row>
    <row r="4" spans="1:10" ht="96.6" hidden="1" customHeight="1" x14ac:dyDescent="0.25">
      <c r="A4" s="2102">
        <f>A3+0.01</f>
        <v>1.01</v>
      </c>
      <c r="B4" s="2117" t="s">
        <v>1256</v>
      </c>
      <c r="C4" s="2104"/>
      <c r="D4" s="2105"/>
      <c r="E4" s="2106"/>
      <c r="F4" s="2106"/>
      <c r="G4" s="2107"/>
      <c r="H4" s="2108"/>
    </row>
    <row r="5" spans="1:10" ht="14.4" hidden="1" thickBot="1" x14ac:dyDescent="0.3">
      <c r="A5" s="2102"/>
      <c r="B5" s="2111" t="s">
        <v>1213</v>
      </c>
      <c r="C5" s="2104"/>
      <c r="D5" s="2105" t="s">
        <v>129</v>
      </c>
      <c r="E5" s="2106"/>
      <c r="F5" s="2106"/>
      <c r="G5" s="2107"/>
      <c r="H5" s="2108"/>
    </row>
    <row r="6" spans="1:10" ht="14.4" hidden="1" thickBot="1" x14ac:dyDescent="0.3">
      <c r="A6" s="2102"/>
      <c r="B6" s="2111"/>
      <c r="C6" s="2104"/>
      <c r="D6" s="2105"/>
      <c r="E6" s="2106"/>
      <c r="F6" s="2106"/>
      <c r="G6" s="2107"/>
      <c r="H6" s="2108"/>
    </row>
    <row r="7" spans="1:10" ht="14.4" hidden="1" thickBot="1" x14ac:dyDescent="0.3">
      <c r="A7" s="2102"/>
      <c r="B7" s="2118" t="s">
        <v>777</v>
      </c>
      <c r="C7" s="2104"/>
      <c r="D7" s="2105"/>
      <c r="E7" s="2106"/>
      <c r="F7" s="2106"/>
      <c r="G7" s="2107"/>
      <c r="H7" s="2108"/>
    </row>
    <row r="8" spans="1:10" ht="124.2" hidden="1" customHeight="1" x14ac:dyDescent="0.25">
      <c r="A8" s="2102">
        <f>A3+0.01</f>
        <v>1.01</v>
      </c>
      <c r="B8" s="2111" t="s">
        <v>1356</v>
      </c>
      <c r="C8" s="2104"/>
      <c r="D8" s="2105"/>
      <c r="E8" s="2106"/>
      <c r="F8" s="2106"/>
      <c r="G8" s="2107"/>
      <c r="H8" s="2108"/>
    </row>
    <row r="9" spans="1:10" ht="14.4" hidden="1" thickBot="1" x14ac:dyDescent="0.3">
      <c r="A9" s="2102"/>
      <c r="B9" s="2111" t="s">
        <v>1216</v>
      </c>
      <c r="C9" s="2104"/>
      <c r="D9" s="2105" t="s">
        <v>1292</v>
      </c>
      <c r="E9" s="2106"/>
      <c r="F9" s="2106"/>
      <c r="G9" s="2107"/>
      <c r="H9" s="2108"/>
    </row>
    <row r="10" spans="1:10" ht="14.4" hidden="1" thickBot="1" x14ac:dyDescent="0.3">
      <c r="A10" s="2102"/>
      <c r="B10" s="2111"/>
      <c r="C10" s="2104"/>
      <c r="D10" s="2105"/>
      <c r="E10" s="2106"/>
      <c r="F10" s="2106"/>
      <c r="G10" s="2107"/>
      <c r="H10" s="2108"/>
    </row>
    <row r="11" spans="1:10" x14ac:dyDescent="0.25">
      <c r="A11" s="2119" t="s">
        <v>2722</v>
      </c>
      <c r="B11" s="2437" t="s">
        <v>776</v>
      </c>
      <c r="C11" s="2438"/>
      <c r="D11" s="2439"/>
      <c r="E11" s="2440"/>
      <c r="F11" s="2440"/>
      <c r="G11" s="2120"/>
      <c r="H11" s="2441"/>
    </row>
    <row r="12" spans="1:10" x14ac:dyDescent="0.25">
      <c r="A12" s="2102"/>
      <c r="B12" s="2103" t="s">
        <v>1057</v>
      </c>
      <c r="C12" s="2104"/>
      <c r="D12" s="2105"/>
      <c r="E12" s="2106"/>
      <c r="F12" s="2106"/>
      <c r="G12" s="2107"/>
      <c r="H12" s="2108"/>
    </row>
    <row r="13" spans="1:10" ht="27.6" x14ac:dyDescent="0.25">
      <c r="A13" s="2102" t="s">
        <v>2723</v>
      </c>
      <c r="B13" s="2110" t="s">
        <v>2647</v>
      </c>
      <c r="C13" s="2104">
        <f>42+42+3</f>
        <v>87</v>
      </c>
      <c r="D13" s="2105" t="s">
        <v>56</v>
      </c>
      <c r="E13" s="2106">
        <f>11500*3.28</f>
        <v>37720</v>
      </c>
      <c r="F13" s="2106">
        <f>+$I$1</f>
        <v>0.85</v>
      </c>
      <c r="G13" s="2121">
        <f>ROUNDUP(E13/F13,-1)</f>
        <v>44380</v>
      </c>
      <c r="H13" s="2108">
        <f>+G13*C13</f>
        <v>3861060</v>
      </c>
      <c r="J13" s="2101">
        <f>3*3*610</f>
        <v>5490</v>
      </c>
    </row>
    <row r="14" spans="1:10" x14ac:dyDescent="0.25">
      <c r="A14" s="2102"/>
      <c r="B14" s="2110"/>
      <c r="C14" s="2104"/>
      <c r="D14" s="2105"/>
      <c r="E14" s="2106"/>
      <c r="F14" s="2106"/>
      <c r="G14" s="2107"/>
      <c r="H14" s="2108"/>
    </row>
    <row r="15" spans="1:10" hidden="1" x14ac:dyDescent="0.25">
      <c r="A15" s="2102" t="e">
        <f>A13+0.01</f>
        <v>#VALUE!</v>
      </c>
      <c r="B15" s="2103" t="s">
        <v>1257</v>
      </c>
      <c r="C15" s="2104"/>
      <c r="D15" s="2105"/>
      <c r="E15" s="2106"/>
      <c r="F15" s="2106"/>
      <c r="G15" s="2107"/>
      <c r="H15" s="2108"/>
    </row>
    <row r="16" spans="1:10" ht="136.80000000000001" hidden="1" customHeight="1" x14ac:dyDescent="0.25">
      <c r="A16" s="2102"/>
      <c r="B16" s="2110" t="s">
        <v>1324</v>
      </c>
      <c r="C16" s="2104"/>
      <c r="D16" s="2105"/>
      <c r="E16" s="2106"/>
      <c r="F16" s="2106"/>
      <c r="G16" s="2107"/>
      <c r="H16" s="2108"/>
    </row>
    <row r="17" spans="1:9" hidden="1" x14ac:dyDescent="0.25">
      <c r="A17" s="2102"/>
      <c r="B17" s="2103"/>
      <c r="C17" s="2104"/>
      <c r="D17" s="2105"/>
      <c r="E17" s="2106"/>
      <c r="F17" s="2106"/>
      <c r="G17" s="2107"/>
      <c r="H17" s="2108"/>
    </row>
    <row r="18" spans="1:9" hidden="1" x14ac:dyDescent="0.25">
      <c r="A18" s="2122">
        <v>3</v>
      </c>
      <c r="B18" s="2109" t="s">
        <v>1058</v>
      </c>
      <c r="C18" s="2104"/>
      <c r="D18" s="2105"/>
      <c r="E18" s="2106"/>
      <c r="F18" s="2106"/>
      <c r="G18" s="2107"/>
      <c r="H18" s="2108"/>
    </row>
    <row r="19" spans="1:9" hidden="1" x14ac:dyDescent="0.25">
      <c r="A19" s="2102"/>
      <c r="B19" s="2111"/>
      <c r="C19" s="2104"/>
      <c r="D19" s="2105"/>
      <c r="E19" s="2106"/>
      <c r="F19" s="2106"/>
      <c r="G19" s="2107"/>
      <c r="H19" s="2108"/>
    </row>
    <row r="20" spans="1:9" hidden="1" x14ac:dyDescent="0.25">
      <c r="A20" s="2102">
        <f>A18+0.01</f>
        <v>3.01</v>
      </c>
      <c r="B20" s="2118" t="s">
        <v>1258</v>
      </c>
      <c r="C20" s="2104"/>
      <c r="D20" s="2105"/>
      <c r="E20" s="2106"/>
      <c r="F20" s="2106"/>
      <c r="G20" s="2107"/>
      <c r="H20" s="2108"/>
    </row>
    <row r="21" spans="1:9" ht="76.2" hidden="1" customHeight="1" x14ac:dyDescent="0.25">
      <c r="A21" s="2102"/>
      <c r="B21" s="2123" t="s">
        <v>2435</v>
      </c>
      <c r="C21" s="2124"/>
      <c r="D21" s="2105" t="s">
        <v>129</v>
      </c>
      <c r="E21" s="2106"/>
      <c r="F21" s="2106"/>
      <c r="G21" s="2125"/>
      <c r="H21" s="2126"/>
      <c r="I21" s="2127"/>
    </row>
    <row r="22" spans="1:9" hidden="1" x14ac:dyDescent="0.25">
      <c r="A22" s="2102"/>
      <c r="B22" s="2118"/>
      <c r="C22" s="2104"/>
      <c r="D22" s="2105"/>
      <c r="E22" s="2106"/>
      <c r="F22" s="2106"/>
      <c r="G22" s="2107"/>
      <c r="H22" s="2108"/>
    </row>
    <row r="23" spans="1:9" hidden="1" x14ac:dyDescent="0.25">
      <c r="A23" s="2102">
        <f>A20+0.01</f>
        <v>3.0199999999999996</v>
      </c>
      <c r="B23" s="2128" t="s">
        <v>1386</v>
      </c>
      <c r="C23" s="2104"/>
      <c r="D23" s="2105"/>
      <c r="E23" s="2106"/>
      <c r="F23" s="2106"/>
      <c r="G23" s="2107"/>
      <c r="H23" s="2108"/>
    </row>
    <row r="24" spans="1:9" hidden="1" x14ac:dyDescent="0.25">
      <c r="A24" s="2102"/>
      <c r="B24" s="2129"/>
      <c r="C24" s="2104"/>
      <c r="D24" s="2105"/>
      <c r="E24" s="2106"/>
      <c r="F24" s="2106"/>
      <c r="G24" s="2107"/>
      <c r="H24" s="2108"/>
    </row>
    <row r="25" spans="1:9" hidden="1" x14ac:dyDescent="0.25">
      <c r="A25" s="2102"/>
      <c r="B25" s="2110" t="s">
        <v>716</v>
      </c>
      <c r="C25" s="2104"/>
      <c r="D25" s="2116" t="s">
        <v>1292</v>
      </c>
      <c r="E25" s="2130"/>
      <c r="F25" s="2130"/>
      <c r="G25" s="2107"/>
      <c r="H25" s="2108"/>
    </row>
    <row r="26" spans="1:9" hidden="1" x14ac:dyDescent="0.25">
      <c r="A26" s="2102"/>
      <c r="B26" s="2110"/>
      <c r="C26" s="2104"/>
      <c r="D26" s="2105"/>
      <c r="E26" s="2106"/>
      <c r="F26" s="2106"/>
      <c r="G26" s="2107"/>
      <c r="H26" s="2108"/>
    </row>
    <row r="27" spans="1:9" hidden="1" x14ac:dyDescent="0.25">
      <c r="A27" s="2102">
        <f>A23+0.01</f>
        <v>3.0299999999999994</v>
      </c>
      <c r="B27" s="2118" t="s">
        <v>1312</v>
      </c>
      <c r="C27" s="2104"/>
      <c r="D27" s="2105"/>
      <c r="E27" s="2106"/>
      <c r="F27" s="2106"/>
      <c r="G27" s="2107"/>
      <c r="H27" s="2108"/>
    </row>
    <row r="28" spans="1:9" ht="55.2" hidden="1" x14ac:dyDescent="0.25">
      <c r="A28" s="2102"/>
      <c r="B28" s="2123" t="s">
        <v>1313</v>
      </c>
      <c r="C28" s="2104"/>
      <c r="D28" s="2105"/>
      <c r="E28" s="2106"/>
      <c r="F28" s="2106"/>
      <c r="G28" s="2107"/>
      <c r="H28" s="2108"/>
    </row>
    <row r="29" spans="1:9" hidden="1" x14ac:dyDescent="0.25">
      <c r="A29" s="2102"/>
      <c r="B29" s="2110" t="s">
        <v>712</v>
      </c>
      <c r="C29" s="2124"/>
      <c r="D29" s="2105" t="s">
        <v>129</v>
      </c>
      <c r="E29" s="2106"/>
      <c r="F29" s="2106"/>
      <c r="G29" s="2125"/>
      <c r="H29" s="2126"/>
    </row>
    <row r="30" spans="1:9" hidden="1" x14ac:dyDescent="0.25">
      <c r="A30" s="2102"/>
      <c r="B30" s="2103"/>
      <c r="C30" s="2104"/>
      <c r="D30" s="2105"/>
      <c r="E30" s="2106"/>
      <c r="F30" s="2106"/>
      <c r="G30" s="2107"/>
      <c r="H30" s="2108"/>
    </row>
    <row r="31" spans="1:9" x14ac:dyDescent="0.25">
      <c r="A31" s="2122" t="s">
        <v>2724</v>
      </c>
      <c r="B31" s="2109" t="s">
        <v>2732</v>
      </c>
      <c r="C31" s="2104"/>
      <c r="D31" s="2105"/>
      <c r="E31" s="2106"/>
      <c r="F31" s="2106"/>
      <c r="G31" s="2107"/>
      <c r="H31" s="2108"/>
    </row>
    <row r="32" spans="1:9" x14ac:dyDescent="0.25">
      <c r="A32" s="1595"/>
      <c r="B32" s="2109"/>
      <c r="C32" s="2104"/>
      <c r="D32" s="2105"/>
      <c r="E32" s="2106"/>
      <c r="F32" s="2106"/>
      <c r="G32" s="2107"/>
      <c r="H32" s="2108"/>
    </row>
    <row r="33" spans="1:12" ht="55.2" x14ac:dyDescent="0.25">
      <c r="A33" s="1595" t="s">
        <v>2725</v>
      </c>
      <c r="B33" s="2131" t="s">
        <v>2729</v>
      </c>
      <c r="C33" s="2107"/>
      <c r="D33" s="2132"/>
      <c r="E33" s="2133"/>
      <c r="F33" s="2133"/>
      <c r="G33" s="2124"/>
      <c r="H33" s="2134"/>
      <c r="I33" s="2135"/>
      <c r="J33" s="2136"/>
      <c r="K33" s="2135"/>
      <c r="L33" s="2137"/>
    </row>
    <row r="34" spans="1:12" x14ac:dyDescent="0.25">
      <c r="A34" s="1595"/>
      <c r="B34" s="2131" t="s">
        <v>1269</v>
      </c>
      <c r="C34" s="2107">
        <v>1</v>
      </c>
      <c r="D34" s="2132" t="s">
        <v>981</v>
      </c>
      <c r="E34" s="2133">
        <f>6450*5*9+72000</f>
        <v>362250</v>
      </c>
      <c r="F34" s="2106">
        <f>+$I$1</f>
        <v>0.85</v>
      </c>
      <c r="G34" s="2121">
        <f>ROUNDUP(E34/F34,-1)</f>
        <v>426180</v>
      </c>
      <c r="H34" s="2108">
        <f>+G34*C34</f>
        <v>426180</v>
      </c>
      <c r="I34" s="2138"/>
      <c r="J34" s="2139"/>
      <c r="K34" s="2138"/>
      <c r="L34" s="2140"/>
    </row>
    <row r="35" spans="1:12" x14ac:dyDescent="0.25">
      <c r="A35" s="1595"/>
      <c r="B35" s="2131"/>
      <c r="C35" s="2107"/>
      <c r="D35" s="2132"/>
      <c r="E35" s="2133"/>
      <c r="F35" s="2133"/>
      <c r="G35" s="2124"/>
      <c r="H35" s="2134"/>
      <c r="I35" s="2138"/>
      <c r="J35" s="2139"/>
      <c r="K35" s="2138"/>
      <c r="L35" s="2140"/>
    </row>
    <row r="36" spans="1:12" ht="41.4" x14ac:dyDescent="0.25">
      <c r="A36" s="1595" t="s">
        <v>2726</v>
      </c>
      <c r="B36" s="2131" t="s">
        <v>2643</v>
      </c>
      <c r="C36" s="2107"/>
      <c r="D36" s="2132"/>
      <c r="E36" s="2133"/>
      <c r="F36" s="2133"/>
      <c r="G36" s="2124"/>
      <c r="H36" s="2134"/>
      <c r="I36" s="2135"/>
      <c r="J36" s="2136"/>
      <c r="K36" s="2135"/>
      <c r="L36" s="2137"/>
    </row>
    <row r="37" spans="1:12" x14ac:dyDescent="0.25">
      <c r="A37" s="1595"/>
      <c r="B37" s="2131" t="s">
        <v>1269</v>
      </c>
      <c r="C37" s="2107">
        <v>2</v>
      </c>
      <c r="D37" s="2132" t="s">
        <v>981</v>
      </c>
      <c r="E37" s="2133">
        <f>6150*26</f>
        <v>159900</v>
      </c>
      <c r="F37" s="2106">
        <f>+$I$1</f>
        <v>0.85</v>
      </c>
      <c r="G37" s="2121">
        <f>ROUNDUP(E37/F37,-1)</f>
        <v>188120</v>
      </c>
      <c r="H37" s="2108">
        <f>+G37*C37</f>
        <v>376240</v>
      </c>
      <c r="I37" s="2138"/>
      <c r="J37" s="2139"/>
      <c r="K37" s="2138"/>
      <c r="L37" s="2140"/>
    </row>
    <row r="38" spans="1:12" x14ac:dyDescent="0.25">
      <c r="A38" s="1595"/>
      <c r="B38" s="2131" t="s">
        <v>2498</v>
      </c>
      <c r="C38" s="2107">
        <v>4</v>
      </c>
      <c r="D38" s="2132" t="s">
        <v>981</v>
      </c>
      <c r="E38" s="2133">
        <f>+E37*1.01</f>
        <v>161499</v>
      </c>
      <c r="F38" s="2106">
        <f>+$I$1</f>
        <v>0.85</v>
      </c>
      <c r="G38" s="2121">
        <f>ROUNDUP(E38/F38,-1)</f>
        <v>190000</v>
      </c>
      <c r="H38" s="2108">
        <f>+G38*C38</f>
        <v>760000</v>
      </c>
      <c r="I38" s="2138"/>
      <c r="J38" s="2139"/>
      <c r="K38" s="2138"/>
      <c r="L38" s="2140"/>
    </row>
    <row r="39" spans="1:12" x14ac:dyDescent="0.25">
      <c r="A39" s="1595"/>
      <c r="B39" s="2131" t="s">
        <v>2499</v>
      </c>
      <c r="C39" s="2107">
        <v>4</v>
      </c>
      <c r="D39" s="2132" t="s">
        <v>981</v>
      </c>
      <c r="E39" s="2133">
        <f>+E38*1.01</f>
        <v>163113.99</v>
      </c>
      <c r="F39" s="2106">
        <f>+$I$1</f>
        <v>0.85</v>
      </c>
      <c r="G39" s="2121">
        <f>ROUNDUP(E39/F39,-1)</f>
        <v>191900</v>
      </c>
      <c r="H39" s="2108">
        <f>+G39*C39</f>
        <v>767600</v>
      </c>
      <c r="I39" s="2138"/>
      <c r="J39" s="2139"/>
      <c r="K39" s="2138"/>
      <c r="L39" s="2140"/>
    </row>
    <row r="40" spans="1:12" x14ac:dyDescent="0.25">
      <c r="A40" s="1595"/>
      <c r="B40" s="2131"/>
      <c r="C40" s="2107"/>
      <c r="D40" s="2132"/>
      <c r="E40" s="2133"/>
      <c r="F40" s="2133"/>
      <c r="G40" s="2124"/>
      <c r="H40" s="2134"/>
      <c r="I40" s="2138"/>
      <c r="J40" s="2139"/>
      <c r="K40" s="2138"/>
      <c r="L40" s="2140"/>
    </row>
    <row r="41" spans="1:12" ht="41.4" x14ac:dyDescent="0.25">
      <c r="A41" s="1595" t="s">
        <v>2727</v>
      </c>
      <c r="B41" s="2131" t="s">
        <v>2644</v>
      </c>
      <c r="C41" s="2107"/>
      <c r="D41" s="2132"/>
      <c r="E41" s="2133"/>
      <c r="F41" s="2133"/>
      <c r="G41" s="2124"/>
      <c r="H41" s="2134"/>
      <c r="I41" s="2135"/>
      <c r="J41" s="2136"/>
      <c r="K41" s="2135"/>
      <c r="L41" s="2137"/>
    </row>
    <row r="42" spans="1:12" x14ac:dyDescent="0.25">
      <c r="A42" s="1595"/>
      <c r="B42" s="2131" t="s">
        <v>1269</v>
      </c>
      <c r="C42" s="2107">
        <v>3</v>
      </c>
      <c r="D42" s="2132" t="s">
        <v>981</v>
      </c>
      <c r="E42" s="2133">
        <f>6150*22</f>
        <v>135300</v>
      </c>
      <c r="F42" s="2106">
        <f t="shared" ref="F42:F45" si="0">+$I$1</f>
        <v>0.85</v>
      </c>
      <c r="G42" s="2121">
        <f t="shared" ref="G42:G43" si="1">ROUNDUP(E42/F42,-1)</f>
        <v>159180</v>
      </c>
      <c r="H42" s="2108">
        <f>+G42*C42</f>
        <v>477540</v>
      </c>
      <c r="I42" s="2138"/>
      <c r="J42" s="2139"/>
      <c r="K42" s="2138"/>
      <c r="L42" s="2140"/>
    </row>
    <row r="43" spans="1:12" x14ac:dyDescent="0.25">
      <c r="A43" s="1595"/>
      <c r="B43" s="2131" t="s">
        <v>2498</v>
      </c>
      <c r="C43" s="2107">
        <v>3</v>
      </c>
      <c r="D43" s="2132" t="s">
        <v>981</v>
      </c>
      <c r="E43" s="2133">
        <f>+E42*1.01</f>
        <v>136653</v>
      </c>
      <c r="F43" s="2106">
        <f t="shared" si="0"/>
        <v>0.85</v>
      </c>
      <c r="G43" s="2121">
        <f t="shared" si="1"/>
        <v>160770</v>
      </c>
      <c r="H43" s="2108">
        <f>+G43*C43</f>
        <v>482310</v>
      </c>
      <c r="I43" s="2138"/>
      <c r="J43" s="2139"/>
      <c r="K43" s="2138"/>
      <c r="L43" s="2140"/>
    </row>
    <row r="44" spans="1:12" x14ac:dyDescent="0.25">
      <c r="A44" s="1595"/>
      <c r="B44" s="2131" t="s">
        <v>2499</v>
      </c>
      <c r="C44" s="2107">
        <v>3</v>
      </c>
      <c r="D44" s="2132" t="s">
        <v>981</v>
      </c>
      <c r="E44" s="2133">
        <f>+E42*1.02</f>
        <v>138006</v>
      </c>
      <c r="F44" s="2106">
        <f t="shared" si="0"/>
        <v>0.85</v>
      </c>
      <c r="G44" s="2121">
        <f t="shared" ref="G44" si="2">ROUNDUP(E44/F44,-1)</f>
        <v>162360</v>
      </c>
      <c r="H44" s="2108">
        <f t="shared" ref="H44" si="3">+G44*C44</f>
        <v>487080</v>
      </c>
      <c r="I44" s="2138"/>
      <c r="J44" s="2139"/>
      <c r="K44" s="2138"/>
      <c r="L44" s="2140"/>
    </row>
    <row r="45" spans="1:12" x14ac:dyDescent="0.25">
      <c r="A45" s="1595"/>
      <c r="B45" s="2131" t="s">
        <v>2472</v>
      </c>
      <c r="C45" s="2107">
        <v>1</v>
      </c>
      <c r="D45" s="2132" t="s">
        <v>981</v>
      </c>
      <c r="E45" s="2133">
        <f>+E42*1.03</f>
        <v>139359</v>
      </c>
      <c r="F45" s="2106">
        <f t="shared" si="0"/>
        <v>0.85</v>
      </c>
      <c r="G45" s="2121">
        <f>ROUNDUP(E45/F45,-1)</f>
        <v>163960</v>
      </c>
      <c r="H45" s="2108">
        <f>+G45*C45</f>
        <v>163960</v>
      </c>
      <c r="I45" s="2138"/>
      <c r="J45" s="2139"/>
      <c r="K45" s="2138"/>
      <c r="L45" s="2140"/>
    </row>
    <row r="46" spans="1:12" x14ac:dyDescent="0.25">
      <c r="A46" s="1595"/>
      <c r="B46" s="2131"/>
      <c r="C46" s="2107"/>
      <c r="D46" s="2132"/>
      <c r="E46" s="2133"/>
      <c r="F46" s="2106"/>
      <c r="G46" s="2121"/>
      <c r="H46" s="2108"/>
      <c r="I46" s="2138"/>
      <c r="J46" s="2139"/>
      <c r="K46" s="2138"/>
      <c r="L46" s="2140"/>
    </row>
    <row r="47" spans="1:12" ht="41.4" x14ac:dyDescent="0.25">
      <c r="A47" s="1595" t="s">
        <v>2728</v>
      </c>
      <c r="B47" s="2131" t="s">
        <v>2645</v>
      </c>
      <c r="C47" s="2107"/>
      <c r="D47" s="2132"/>
      <c r="E47" s="2133"/>
      <c r="F47" s="2133"/>
      <c r="G47" s="2124"/>
      <c r="H47" s="2134"/>
      <c r="I47" s="2135"/>
      <c r="J47" s="2136"/>
      <c r="K47" s="2135"/>
      <c r="L47" s="2137"/>
    </row>
    <row r="48" spans="1:12" x14ac:dyDescent="0.25">
      <c r="A48" s="2122"/>
      <c r="B48" s="2110" t="s">
        <v>1269</v>
      </c>
      <c r="C48" s="2107">
        <v>2</v>
      </c>
      <c r="D48" s="2132" t="s">
        <v>981</v>
      </c>
      <c r="E48" s="2133">
        <f>6150*29</f>
        <v>178350</v>
      </c>
      <c r="F48" s="2106">
        <f>+$I$1</f>
        <v>0.85</v>
      </c>
      <c r="G48" s="2121">
        <f>ROUNDUP(E48/F48,-1)</f>
        <v>209830</v>
      </c>
      <c r="H48" s="2108">
        <f>+G48*C48</f>
        <v>419660</v>
      </c>
      <c r="I48" s="2138"/>
      <c r="J48" s="2139"/>
      <c r="K48" s="2138"/>
      <c r="L48" s="2140"/>
    </row>
    <row r="49" spans="1:12" x14ac:dyDescent="0.25">
      <c r="A49" s="2122"/>
      <c r="B49" s="2110" t="s">
        <v>2472</v>
      </c>
      <c r="C49" s="2107">
        <v>1</v>
      </c>
      <c r="D49" s="2132" t="s">
        <v>981</v>
      </c>
      <c r="E49" s="2133">
        <f>+E48*1.04</f>
        <v>185484</v>
      </c>
      <c r="F49" s="2106">
        <f>+$I$1</f>
        <v>0.85</v>
      </c>
      <c r="G49" s="2121">
        <f>ROUNDUP(E49/F49,-1)</f>
        <v>218220</v>
      </c>
      <c r="H49" s="2108">
        <f>+G49*C49</f>
        <v>218220</v>
      </c>
      <c r="I49" s="2138"/>
      <c r="J49" s="2139"/>
      <c r="K49" s="2138"/>
      <c r="L49" s="2140"/>
    </row>
    <row r="50" spans="1:12" x14ac:dyDescent="0.25">
      <c r="A50" s="2122"/>
      <c r="B50" s="2131"/>
      <c r="C50" s="2107"/>
      <c r="D50" s="2132"/>
      <c r="E50" s="2133"/>
      <c r="F50" s="2133"/>
      <c r="G50" s="2124"/>
      <c r="H50" s="2134"/>
      <c r="I50" s="2138"/>
      <c r="J50" s="2139"/>
      <c r="K50" s="2138"/>
      <c r="L50" s="2140"/>
    </row>
    <row r="51" spans="1:12" ht="41.4" x14ac:dyDescent="0.25">
      <c r="A51" s="1595" t="s">
        <v>2730</v>
      </c>
      <c r="B51" s="2131" t="s">
        <v>2646</v>
      </c>
      <c r="C51" s="2107"/>
      <c r="D51" s="2132"/>
      <c r="E51" s="2133"/>
      <c r="F51" s="2133"/>
      <c r="G51" s="2124"/>
      <c r="H51" s="2134"/>
      <c r="I51" s="2135"/>
      <c r="J51" s="2136"/>
      <c r="K51" s="2135"/>
      <c r="L51" s="2137"/>
    </row>
    <row r="52" spans="1:12" x14ac:dyDescent="0.25">
      <c r="A52" s="2122"/>
      <c r="B52" s="2110" t="s">
        <v>1269</v>
      </c>
      <c r="C52" s="2107">
        <v>2</v>
      </c>
      <c r="D52" s="2132" t="s">
        <v>981</v>
      </c>
      <c r="E52" s="2133">
        <f>6150*27</f>
        <v>166050</v>
      </c>
      <c r="F52" s="2106">
        <f>+$I$1</f>
        <v>0.85</v>
      </c>
      <c r="G52" s="2121">
        <f>ROUNDUP(E52/F52,-1)</f>
        <v>195360</v>
      </c>
      <c r="H52" s="2108">
        <f>+G52*C52</f>
        <v>390720</v>
      </c>
      <c r="I52" s="2138"/>
      <c r="J52" s="2139"/>
      <c r="K52" s="2138"/>
      <c r="L52" s="2140"/>
    </row>
    <row r="53" spans="1:12" x14ac:dyDescent="0.25">
      <c r="A53" s="2122"/>
      <c r="B53" s="2110"/>
      <c r="C53" s="2107"/>
      <c r="D53" s="2132"/>
      <c r="E53" s="2133"/>
      <c r="F53" s="2133"/>
      <c r="G53" s="2124"/>
      <c r="H53" s="2134"/>
      <c r="I53" s="2138"/>
      <c r="J53" s="2139"/>
      <c r="K53" s="2138"/>
      <c r="L53" s="2140"/>
    </row>
    <row r="54" spans="1:12" x14ac:dyDescent="0.25">
      <c r="A54" s="2122" t="s">
        <v>2731</v>
      </c>
      <c r="B54" s="2109" t="s">
        <v>1067</v>
      </c>
      <c r="C54" s="2104"/>
      <c r="D54" s="2105"/>
      <c r="E54" s="2106"/>
      <c r="F54" s="2106"/>
      <c r="G54" s="2107"/>
      <c r="H54" s="2108"/>
    </row>
    <row r="55" spans="1:12" x14ac:dyDescent="0.25">
      <c r="A55" s="2122"/>
      <c r="B55" s="2109"/>
      <c r="C55" s="2104"/>
      <c r="D55" s="2105"/>
      <c r="E55" s="2106"/>
      <c r="F55" s="2106"/>
      <c r="G55" s="2107"/>
      <c r="H55" s="2108"/>
    </row>
    <row r="56" spans="1:12" ht="41.4" x14ac:dyDescent="0.25">
      <c r="A56" s="1595" t="s">
        <v>2733</v>
      </c>
      <c r="B56" s="2131" t="s">
        <v>2648</v>
      </c>
      <c r="C56" s="2107"/>
      <c r="D56" s="2132"/>
      <c r="E56" s="2133"/>
      <c r="F56" s="2133"/>
      <c r="G56" s="2124"/>
      <c r="H56" s="2134"/>
      <c r="I56" s="2138"/>
      <c r="J56" s="2139"/>
      <c r="K56" s="2138"/>
      <c r="L56" s="2140"/>
    </row>
    <row r="57" spans="1:12" x14ac:dyDescent="0.25">
      <c r="A57" s="1595"/>
      <c r="B57" s="2131" t="s">
        <v>1269</v>
      </c>
      <c r="C57" s="2107">
        <v>1</v>
      </c>
      <c r="D57" s="2132" t="s">
        <v>981</v>
      </c>
      <c r="E57" s="2133">
        <f>86*4250</f>
        <v>365500</v>
      </c>
      <c r="F57" s="2106">
        <f>+$I$1</f>
        <v>0.85</v>
      </c>
      <c r="G57" s="2121">
        <f>ROUNDUP(E57/F57,-1)</f>
        <v>430000</v>
      </c>
      <c r="H57" s="2108">
        <f>+G57*C57</f>
        <v>430000</v>
      </c>
      <c r="I57" s="2138">
        <f>4.425*1.8</f>
        <v>7.9649999999999999</v>
      </c>
      <c r="J57" s="2139">
        <f>+I57*10.76</f>
        <v>85.703400000000002</v>
      </c>
      <c r="K57" s="2138"/>
      <c r="L57" s="2140"/>
    </row>
    <row r="58" spans="1:12" x14ac:dyDescent="0.25">
      <c r="A58" s="1595"/>
      <c r="B58" s="2109"/>
      <c r="C58" s="2104"/>
      <c r="D58" s="2105"/>
      <c r="E58" s="2106"/>
      <c r="F58" s="2106"/>
      <c r="G58" s="2107"/>
      <c r="H58" s="2108"/>
    </row>
    <row r="59" spans="1:12" ht="41.4" x14ac:dyDescent="0.25">
      <c r="A59" s="1595" t="s">
        <v>2734</v>
      </c>
      <c r="B59" s="2131" t="s">
        <v>2653</v>
      </c>
      <c r="C59" s="2107"/>
      <c r="D59" s="2132"/>
      <c r="E59" s="2133"/>
      <c r="F59" s="2133"/>
      <c r="G59" s="2124"/>
      <c r="H59" s="2134"/>
      <c r="I59" s="2138"/>
      <c r="J59" s="2139"/>
      <c r="K59" s="2138"/>
      <c r="L59" s="2140"/>
    </row>
    <row r="60" spans="1:12" x14ac:dyDescent="0.25">
      <c r="A60" s="1595"/>
      <c r="B60" s="2131" t="s">
        <v>1269</v>
      </c>
      <c r="C60" s="2107">
        <v>2</v>
      </c>
      <c r="D60" s="2132" t="s">
        <v>981</v>
      </c>
      <c r="E60" s="2133">
        <f>21*4250</f>
        <v>89250</v>
      </c>
      <c r="F60" s="2106">
        <f>+$I$1</f>
        <v>0.85</v>
      </c>
      <c r="G60" s="2121">
        <f>ROUNDUP(E60/F60,-1)</f>
        <v>105000</v>
      </c>
      <c r="H60" s="2108">
        <f>+G60*C60</f>
        <v>210000</v>
      </c>
      <c r="I60" s="2138">
        <f>1.2*1.65</f>
        <v>1.9799999999999998</v>
      </c>
      <c r="J60" s="2139">
        <f>+I60*10.76</f>
        <v>21.304799999999997</v>
      </c>
      <c r="K60" s="2138"/>
      <c r="L60" s="2140"/>
    </row>
    <row r="61" spans="1:12" x14ac:dyDescent="0.25">
      <c r="A61" s="1595"/>
      <c r="B61" s="2109"/>
      <c r="C61" s="2104"/>
      <c r="D61" s="2105"/>
      <c r="E61" s="2106"/>
      <c r="F61" s="2106"/>
      <c r="G61" s="2107"/>
      <c r="H61" s="2108"/>
    </row>
    <row r="62" spans="1:12" ht="41.4" x14ac:dyDescent="0.25">
      <c r="A62" s="1595" t="s">
        <v>2735</v>
      </c>
      <c r="B62" s="2131" t="s">
        <v>2649</v>
      </c>
      <c r="C62" s="2107"/>
      <c r="D62" s="2132"/>
      <c r="E62" s="2133"/>
      <c r="F62" s="2133"/>
      <c r="G62" s="2124"/>
      <c r="H62" s="2134"/>
      <c r="I62" s="2138"/>
      <c r="J62" s="2139"/>
      <c r="K62" s="2138"/>
      <c r="L62" s="2140"/>
    </row>
    <row r="63" spans="1:12" x14ac:dyDescent="0.25">
      <c r="A63" s="1595"/>
      <c r="B63" s="2131" t="s">
        <v>1269</v>
      </c>
      <c r="C63" s="2107">
        <v>1</v>
      </c>
      <c r="D63" s="2132" t="s">
        <v>981</v>
      </c>
      <c r="E63" s="2133">
        <f>129*4250</f>
        <v>548250</v>
      </c>
      <c r="F63" s="2106">
        <f>+$I$1</f>
        <v>0.85</v>
      </c>
      <c r="G63" s="2121">
        <f>ROUNDUP(E63/F63,-1)</f>
        <v>645000</v>
      </c>
      <c r="H63" s="2108">
        <f>+G63*C63</f>
        <v>645000</v>
      </c>
      <c r="I63" s="2138">
        <f>4.425*2.7</f>
        <v>11.9475</v>
      </c>
      <c r="J63" s="2139">
        <f>+I63*10.76</f>
        <v>128.55509999999998</v>
      </c>
      <c r="K63" s="2138"/>
      <c r="L63" s="2140"/>
    </row>
    <row r="64" spans="1:12" x14ac:dyDescent="0.25">
      <c r="A64" s="1595"/>
      <c r="B64" s="2131" t="s">
        <v>2498</v>
      </c>
      <c r="C64" s="2107">
        <v>2</v>
      </c>
      <c r="D64" s="2132" t="s">
        <v>981</v>
      </c>
      <c r="E64" s="2133">
        <f>129*4250</f>
        <v>548250</v>
      </c>
      <c r="F64" s="2106">
        <f>+$I$1</f>
        <v>0.85</v>
      </c>
      <c r="G64" s="2121">
        <f>ROUNDUP(E64/F64,-1)</f>
        <v>645000</v>
      </c>
      <c r="H64" s="2108">
        <f>+G64*C64</f>
        <v>1290000</v>
      </c>
      <c r="I64" s="2138"/>
      <c r="J64" s="2139"/>
      <c r="K64" s="2138"/>
      <c r="L64" s="2140"/>
    </row>
    <row r="65" spans="1:12" ht="14.4" thickBot="1" x14ac:dyDescent="0.3">
      <c r="A65" s="1934"/>
      <c r="B65" s="2445" t="s">
        <v>2499</v>
      </c>
      <c r="C65" s="2113">
        <v>2</v>
      </c>
      <c r="D65" s="2446" t="s">
        <v>981</v>
      </c>
      <c r="E65" s="2447">
        <f>129*4250</f>
        <v>548250</v>
      </c>
      <c r="F65" s="2112">
        <f>+$I$1</f>
        <v>0.85</v>
      </c>
      <c r="G65" s="2448">
        <f>ROUNDUP(E65/F65,-1)</f>
        <v>645000</v>
      </c>
      <c r="H65" s="2114">
        <f>+G65*C65</f>
        <v>1290000</v>
      </c>
      <c r="I65" s="2138"/>
      <c r="J65" s="2139"/>
      <c r="K65" s="2138"/>
      <c r="L65" s="2140"/>
    </row>
    <row r="66" spans="1:12" x14ac:dyDescent="0.25">
      <c r="A66" s="2846"/>
      <c r="B66" s="2437"/>
      <c r="C66" s="2438"/>
      <c r="D66" s="2439"/>
      <c r="E66" s="2440"/>
      <c r="F66" s="2440"/>
      <c r="G66" s="2120"/>
      <c r="H66" s="2441"/>
    </row>
    <row r="67" spans="1:12" ht="41.4" x14ac:dyDescent="0.25">
      <c r="A67" s="1595" t="s">
        <v>2736</v>
      </c>
      <c r="B67" s="2131" t="s">
        <v>2654</v>
      </c>
      <c r="C67" s="2107"/>
      <c r="D67" s="2132"/>
      <c r="E67" s="2133"/>
      <c r="F67" s="2133"/>
      <c r="G67" s="2124"/>
      <c r="H67" s="2134"/>
      <c r="I67" s="2138"/>
      <c r="J67" s="2139"/>
      <c r="K67" s="2138"/>
      <c r="L67" s="2140"/>
    </row>
    <row r="68" spans="1:12" x14ac:dyDescent="0.25">
      <c r="A68" s="2122"/>
      <c r="B68" s="2131" t="s">
        <v>1269</v>
      </c>
      <c r="C68" s="2107">
        <v>1</v>
      </c>
      <c r="D68" s="2132" t="s">
        <v>981</v>
      </c>
      <c r="E68" s="2133">
        <f>126*4250</f>
        <v>535500</v>
      </c>
      <c r="F68" s="2106">
        <f>+$I$1</f>
        <v>0.85</v>
      </c>
      <c r="G68" s="2121">
        <f>ROUNDUP(E68/F68,-1)</f>
        <v>630000</v>
      </c>
      <c r="H68" s="2108">
        <f>+G68*C68</f>
        <v>630000</v>
      </c>
      <c r="I68" s="2138">
        <f>4.35*2.7</f>
        <v>11.744999999999999</v>
      </c>
      <c r="J68" s="2139">
        <f>+I68*10.76</f>
        <v>126.37619999999998</v>
      </c>
      <c r="K68" s="2138"/>
      <c r="L68" s="2140"/>
    </row>
    <row r="69" spans="1:12" x14ac:dyDescent="0.25">
      <c r="A69" s="2122"/>
      <c r="B69" s="2131"/>
      <c r="C69" s="2107"/>
      <c r="D69" s="2132"/>
      <c r="E69" s="2133"/>
      <c r="F69" s="2106"/>
      <c r="G69" s="2121"/>
      <c r="H69" s="2108"/>
      <c r="I69" s="2138"/>
      <c r="J69" s="2139"/>
      <c r="K69" s="2138"/>
      <c r="L69" s="2140"/>
    </row>
    <row r="70" spans="1:12" ht="41.4" x14ac:dyDescent="0.25">
      <c r="A70" s="1595" t="s">
        <v>2737</v>
      </c>
      <c r="B70" s="2131" t="s">
        <v>2655</v>
      </c>
      <c r="C70" s="2107"/>
      <c r="D70" s="2132"/>
      <c r="E70" s="2133"/>
      <c r="F70" s="2133"/>
      <c r="G70" s="2124"/>
      <c r="H70" s="2134"/>
      <c r="I70" s="2138"/>
      <c r="J70" s="2139"/>
      <c r="K70" s="2138"/>
      <c r="L70" s="2140"/>
    </row>
    <row r="71" spans="1:12" x14ac:dyDescent="0.25">
      <c r="A71" s="1595"/>
      <c r="B71" s="2131" t="s">
        <v>1269</v>
      </c>
      <c r="C71" s="2107">
        <v>2</v>
      </c>
      <c r="D71" s="2132" t="s">
        <v>981</v>
      </c>
      <c r="E71" s="2133">
        <f>70*4250</f>
        <v>297500</v>
      </c>
      <c r="F71" s="2106">
        <f>+$I$1</f>
        <v>0.85</v>
      </c>
      <c r="G71" s="2121">
        <f>ROUNDUP(E71/F71,-1)</f>
        <v>350000</v>
      </c>
      <c r="H71" s="2108">
        <f>+G71*C71</f>
        <v>700000</v>
      </c>
      <c r="I71" s="2138">
        <f>2.025*2.7</f>
        <v>5.4675000000000002</v>
      </c>
      <c r="J71" s="2139">
        <f>+I71*10.76</f>
        <v>58.830300000000001</v>
      </c>
      <c r="K71" s="2138"/>
      <c r="L71" s="2140"/>
    </row>
    <row r="72" spans="1:12" x14ac:dyDescent="0.25">
      <c r="A72" s="1595"/>
      <c r="B72" s="2131" t="s">
        <v>2498</v>
      </c>
      <c r="C72" s="2107">
        <v>4</v>
      </c>
      <c r="D72" s="2132" t="s">
        <v>981</v>
      </c>
      <c r="E72" s="2133">
        <f t="shared" ref="E72:E74" si="4">70*4250</f>
        <v>297500</v>
      </c>
      <c r="F72" s="2106">
        <f t="shared" ref="F72:F74" si="5">+$I$1</f>
        <v>0.85</v>
      </c>
      <c r="G72" s="2121">
        <f t="shared" ref="G72:G74" si="6">ROUNDUP(E72/F72,-1)</f>
        <v>350000</v>
      </c>
      <c r="H72" s="2108">
        <f t="shared" ref="H72:H74" si="7">+G72*C72</f>
        <v>1400000</v>
      </c>
      <c r="I72" s="2138"/>
      <c r="J72" s="2139"/>
      <c r="K72" s="2138"/>
      <c r="L72" s="2140"/>
    </row>
    <row r="73" spans="1:12" x14ac:dyDescent="0.25">
      <c r="A73" s="1595"/>
      <c r="B73" s="2131" t="s">
        <v>2499</v>
      </c>
      <c r="C73" s="2107">
        <v>4</v>
      </c>
      <c r="D73" s="2132" t="s">
        <v>981</v>
      </c>
      <c r="E73" s="2133">
        <f t="shared" si="4"/>
        <v>297500</v>
      </c>
      <c r="F73" s="2106">
        <f t="shared" si="5"/>
        <v>0.85</v>
      </c>
      <c r="G73" s="2121">
        <f t="shared" si="6"/>
        <v>350000</v>
      </c>
      <c r="H73" s="2108">
        <f t="shared" si="7"/>
        <v>1400000</v>
      </c>
      <c r="I73" s="2138"/>
      <c r="J73" s="2139"/>
      <c r="K73" s="2138"/>
      <c r="L73" s="2140"/>
    </row>
    <row r="74" spans="1:12" x14ac:dyDescent="0.25">
      <c r="A74" s="1595"/>
      <c r="B74" s="2131" t="s">
        <v>2457</v>
      </c>
      <c r="C74" s="2107">
        <v>1</v>
      </c>
      <c r="D74" s="2132" t="s">
        <v>981</v>
      </c>
      <c r="E74" s="2133">
        <f t="shared" si="4"/>
        <v>297500</v>
      </c>
      <c r="F74" s="2106">
        <f t="shared" si="5"/>
        <v>0.85</v>
      </c>
      <c r="G74" s="2121">
        <f t="shared" si="6"/>
        <v>350000</v>
      </c>
      <c r="H74" s="2108">
        <f t="shared" si="7"/>
        <v>350000</v>
      </c>
      <c r="I74" s="2138"/>
      <c r="J74" s="2139"/>
      <c r="K74" s="2138"/>
      <c r="L74" s="2140"/>
    </row>
    <row r="75" spans="1:12" x14ac:dyDescent="0.25">
      <c r="A75" s="1595"/>
      <c r="B75" s="2131"/>
      <c r="C75" s="2107"/>
      <c r="D75" s="2132"/>
      <c r="E75" s="2133"/>
      <c r="F75" s="2106"/>
      <c r="G75" s="2121"/>
      <c r="H75" s="2108"/>
      <c r="I75" s="2138"/>
      <c r="J75" s="2139"/>
      <c r="K75" s="2138"/>
      <c r="L75" s="2140"/>
    </row>
    <row r="76" spans="1:12" ht="41.4" x14ac:dyDescent="0.25">
      <c r="A76" s="1595" t="s">
        <v>2738</v>
      </c>
      <c r="B76" s="2131" t="s">
        <v>2656</v>
      </c>
      <c r="C76" s="2107"/>
      <c r="D76" s="2132"/>
      <c r="E76" s="2133"/>
      <c r="F76" s="2133"/>
      <c r="G76" s="2124"/>
      <c r="H76" s="2134"/>
      <c r="I76" s="2138"/>
      <c r="J76" s="2139"/>
      <c r="K76" s="2138"/>
      <c r="L76" s="2140"/>
    </row>
    <row r="77" spans="1:12" x14ac:dyDescent="0.25">
      <c r="A77" s="2122"/>
      <c r="B77" s="2131" t="s">
        <v>2457</v>
      </c>
      <c r="C77" s="2107">
        <v>1</v>
      </c>
      <c r="D77" s="2132" t="s">
        <v>981</v>
      </c>
      <c r="E77" s="2133">
        <f>105*4250</f>
        <v>446250</v>
      </c>
      <c r="F77" s="2106">
        <f t="shared" ref="F77" si="8">+$I$1</f>
        <v>0.85</v>
      </c>
      <c r="G77" s="2121">
        <f t="shared" ref="G77" si="9">ROUNDUP(E77/F77,-1)</f>
        <v>525000</v>
      </c>
      <c r="H77" s="2108">
        <f t="shared" ref="H77" si="10">+G77*C77</f>
        <v>525000</v>
      </c>
      <c r="I77" s="2138"/>
      <c r="J77" s="2139"/>
      <c r="K77" s="2138"/>
      <c r="L77" s="2140"/>
    </row>
    <row r="78" spans="1:12" x14ac:dyDescent="0.25">
      <c r="A78" s="2122"/>
      <c r="B78" s="2131"/>
      <c r="C78" s="2107"/>
      <c r="D78" s="2132"/>
      <c r="E78" s="2133"/>
      <c r="F78" s="2106"/>
      <c r="G78" s="2121"/>
      <c r="H78" s="2108"/>
      <c r="I78" s="2138"/>
      <c r="J78" s="2139"/>
      <c r="K78" s="2138"/>
      <c r="L78" s="2140"/>
    </row>
    <row r="79" spans="1:12" x14ac:dyDescent="0.25">
      <c r="A79" s="2122"/>
      <c r="B79" s="2131"/>
      <c r="C79" s="2107"/>
      <c r="D79" s="2132"/>
      <c r="E79" s="2133"/>
      <c r="F79" s="2106"/>
      <c r="G79" s="2121"/>
      <c r="H79" s="2108"/>
      <c r="I79" s="2138"/>
      <c r="J79" s="2139"/>
      <c r="K79" s="2138"/>
      <c r="L79" s="2140"/>
    </row>
    <row r="80" spans="1:12" ht="41.4" x14ac:dyDescent="0.25">
      <c r="A80" s="1595" t="s">
        <v>2739</v>
      </c>
      <c r="B80" s="2131" t="s">
        <v>2657</v>
      </c>
      <c r="C80" s="2107"/>
      <c r="D80" s="2132"/>
      <c r="E80" s="2133"/>
      <c r="F80" s="2133"/>
      <c r="G80" s="2124"/>
      <c r="H80" s="2134"/>
      <c r="I80" s="2138"/>
      <c r="J80" s="2139"/>
      <c r="K80" s="2138"/>
      <c r="L80" s="2140"/>
    </row>
    <row r="81" spans="1:12" x14ac:dyDescent="0.25">
      <c r="A81" s="1595"/>
      <c r="B81" s="2131" t="s">
        <v>2457</v>
      </c>
      <c r="C81" s="2107">
        <v>1</v>
      </c>
      <c r="D81" s="2132" t="s">
        <v>981</v>
      </c>
      <c r="E81" s="2133">
        <f>59*4250</f>
        <v>250750</v>
      </c>
      <c r="F81" s="2106">
        <f t="shared" ref="F81" si="11">+$I$1</f>
        <v>0.85</v>
      </c>
      <c r="G81" s="2121">
        <f t="shared" ref="G81" si="12">ROUNDUP(E81/F81,-1)</f>
        <v>295000</v>
      </c>
      <c r="H81" s="2108">
        <f t="shared" ref="H81" si="13">+G81*C81</f>
        <v>295000</v>
      </c>
      <c r="I81" s="2138"/>
      <c r="J81" s="2139"/>
      <c r="K81" s="2138"/>
      <c r="L81" s="2140"/>
    </row>
    <row r="82" spans="1:12" x14ac:dyDescent="0.25">
      <c r="A82" s="1595"/>
      <c r="B82" s="2131"/>
      <c r="C82" s="2107"/>
      <c r="D82" s="2132"/>
      <c r="E82" s="2133"/>
      <c r="F82" s="2106"/>
      <c r="G82" s="2121"/>
      <c r="H82" s="2108"/>
      <c r="I82" s="2138"/>
      <c r="J82" s="2139"/>
      <c r="K82" s="2138"/>
      <c r="L82" s="2140"/>
    </row>
    <row r="83" spans="1:12" ht="41.4" x14ac:dyDescent="0.25">
      <c r="A83" s="1595" t="s">
        <v>2740</v>
      </c>
      <c r="B83" s="2131" t="s">
        <v>2650</v>
      </c>
      <c r="C83" s="2107"/>
      <c r="D83" s="2132"/>
      <c r="E83" s="2133"/>
      <c r="F83" s="2133"/>
      <c r="G83" s="2124"/>
      <c r="H83" s="2134"/>
      <c r="I83" s="2138"/>
      <c r="J83" s="2139"/>
      <c r="K83" s="2138"/>
      <c r="L83" s="2140"/>
    </row>
    <row r="84" spans="1:12" x14ac:dyDescent="0.25">
      <c r="A84" s="2122"/>
      <c r="B84" s="2131" t="s">
        <v>1269</v>
      </c>
      <c r="C84" s="2107">
        <v>1</v>
      </c>
      <c r="D84" s="2132" t="s">
        <v>981</v>
      </c>
      <c r="E84" s="2133">
        <f>55*3850</f>
        <v>211750</v>
      </c>
      <c r="F84" s="2106">
        <f>+$I$1</f>
        <v>0.85</v>
      </c>
      <c r="G84" s="2121">
        <f>ROUNDUP(E84/F84,-1)</f>
        <v>249120</v>
      </c>
      <c r="H84" s="2108">
        <f>+G84*C84</f>
        <v>249120</v>
      </c>
      <c r="I84" s="2138">
        <f>2.1*2.4</f>
        <v>5.04</v>
      </c>
      <c r="J84" s="2139">
        <f>+I84*10.76</f>
        <v>54.230399999999996</v>
      </c>
      <c r="K84" s="2138"/>
      <c r="L84" s="2140"/>
    </row>
    <row r="85" spans="1:12" x14ac:dyDescent="0.25">
      <c r="A85" s="2122"/>
      <c r="B85" s="2131" t="s">
        <v>2498</v>
      </c>
      <c r="C85" s="2107">
        <v>1</v>
      </c>
      <c r="D85" s="2132" t="s">
        <v>981</v>
      </c>
      <c r="E85" s="2133">
        <f>+E84*1.01</f>
        <v>213867.5</v>
      </c>
      <c r="F85" s="2106">
        <f t="shared" ref="F85:F87" si="14">+$I$1</f>
        <v>0.85</v>
      </c>
      <c r="G85" s="2121">
        <f t="shared" ref="G85:G86" si="15">ROUNDUP(E85/F85,-1)</f>
        <v>251610</v>
      </c>
      <c r="H85" s="2108">
        <f>+G85*C85</f>
        <v>251610</v>
      </c>
    </row>
    <row r="86" spans="1:12" x14ac:dyDescent="0.25">
      <c r="A86" s="2122"/>
      <c r="B86" s="2110" t="s">
        <v>2499</v>
      </c>
      <c r="C86" s="2107">
        <v>1</v>
      </c>
      <c r="D86" s="2132" t="s">
        <v>981</v>
      </c>
      <c r="E86" s="2133">
        <f>+E84*1.02</f>
        <v>215985</v>
      </c>
      <c r="F86" s="2106">
        <f t="shared" si="14"/>
        <v>0.85</v>
      </c>
      <c r="G86" s="2121">
        <f t="shared" si="15"/>
        <v>254100</v>
      </c>
      <c r="H86" s="2108">
        <f t="shared" ref="H86" si="16">+G86*C86</f>
        <v>254100</v>
      </c>
    </row>
    <row r="87" spans="1:12" x14ac:dyDescent="0.25">
      <c r="A87" s="2122"/>
      <c r="B87" s="2110" t="s">
        <v>2457</v>
      </c>
      <c r="C87" s="2107">
        <v>1</v>
      </c>
      <c r="D87" s="2132" t="s">
        <v>981</v>
      </c>
      <c r="E87" s="2133">
        <f>+E85*1.02</f>
        <v>218144.85</v>
      </c>
      <c r="F87" s="2106">
        <f t="shared" si="14"/>
        <v>0.85</v>
      </c>
      <c r="G87" s="2121">
        <f t="shared" ref="G87" si="17">ROUNDUP(E87/F87,-1)</f>
        <v>256650</v>
      </c>
      <c r="H87" s="2108">
        <f t="shared" ref="H87" si="18">+G87*C87</f>
        <v>256650</v>
      </c>
    </row>
    <row r="88" spans="1:12" x14ac:dyDescent="0.25">
      <c r="A88" s="2122"/>
      <c r="B88" s="2109"/>
      <c r="C88" s="2104"/>
      <c r="D88" s="2105"/>
      <c r="E88" s="2106"/>
      <c r="F88" s="2106"/>
      <c r="G88" s="2107"/>
      <c r="H88" s="2108"/>
    </row>
    <row r="89" spans="1:12" x14ac:dyDescent="0.25">
      <c r="A89" s="2122"/>
      <c r="B89" s="2109"/>
      <c r="C89" s="2104"/>
      <c r="D89" s="2105"/>
      <c r="E89" s="2106"/>
      <c r="F89" s="2106"/>
      <c r="G89" s="2107"/>
      <c r="H89" s="2108"/>
    </row>
    <row r="90" spans="1:12" s="2141" customFormat="1" ht="27.6" x14ac:dyDescent="0.25">
      <c r="A90" s="1595" t="s">
        <v>2741</v>
      </c>
      <c r="B90" s="2142" t="s">
        <v>2651</v>
      </c>
      <c r="C90" s="2107"/>
      <c r="D90" s="2132"/>
      <c r="E90" s="2133"/>
      <c r="F90" s="2133"/>
      <c r="G90" s="2124"/>
      <c r="H90" s="2134"/>
      <c r="I90" s="2138"/>
      <c r="J90" s="2139"/>
      <c r="K90" s="2138"/>
      <c r="L90" s="2140"/>
    </row>
    <row r="91" spans="1:12" s="2141" customFormat="1" x14ac:dyDescent="0.25">
      <c r="A91" s="2122"/>
      <c r="B91" s="2131" t="s">
        <v>1269</v>
      </c>
      <c r="C91" s="2107">
        <v>1</v>
      </c>
      <c r="D91" s="2132" t="s">
        <v>981</v>
      </c>
      <c r="E91" s="2133">
        <f>15*3850</f>
        <v>57750</v>
      </c>
      <c r="F91" s="2106">
        <f>+$I$1</f>
        <v>0.85</v>
      </c>
      <c r="G91" s="2121">
        <f>ROUNDUP(E91/F91,-1)</f>
        <v>67950</v>
      </c>
      <c r="H91" s="2108">
        <f>+G91*C91</f>
        <v>67950</v>
      </c>
      <c r="I91" s="2138">
        <f>0.6*1.5</f>
        <v>0.89999999999999991</v>
      </c>
      <c r="J91" s="2139">
        <f>+I91*10.76</f>
        <v>9.6839999999999993</v>
      </c>
      <c r="K91" s="2138"/>
      <c r="L91" s="2140"/>
    </row>
    <row r="92" spans="1:12" s="2141" customFormat="1" x14ac:dyDescent="0.25">
      <c r="A92" s="2122"/>
      <c r="B92" s="2131" t="s">
        <v>2498</v>
      </c>
      <c r="C92" s="2107">
        <v>2</v>
      </c>
      <c r="D92" s="2132" t="s">
        <v>981</v>
      </c>
      <c r="E92" s="2133">
        <f t="shared" ref="E92:E93" si="19">15*3850</f>
        <v>57750</v>
      </c>
      <c r="F92" s="2106">
        <f t="shared" ref="F92:F93" si="20">+$I$1</f>
        <v>0.85</v>
      </c>
      <c r="G92" s="2121">
        <f t="shared" ref="G92:G93" si="21">ROUNDUP(E92/F92,-1)</f>
        <v>67950</v>
      </c>
      <c r="H92" s="2108">
        <f>+G92*C92</f>
        <v>135900</v>
      </c>
      <c r="I92" s="2138"/>
      <c r="J92" s="2139"/>
      <c r="K92" s="2138"/>
      <c r="L92" s="2140"/>
    </row>
    <row r="93" spans="1:12" s="2141" customFormat="1" x14ac:dyDescent="0.25">
      <c r="A93" s="2122"/>
      <c r="B93" s="2110" t="s">
        <v>2499</v>
      </c>
      <c r="C93" s="2107">
        <v>2</v>
      </c>
      <c r="D93" s="2132" t="s">
        <v>981</v>
      </c>
      <c r="E93" s="2133">
        <f t="shared" si="19"/>
        <v>57750</v>
      </c>
      <c r="F93" s="2106">
        <f t="shared" si="20"/>
        <v>0.85</v>
      </c>
      <c r="G93" s="2121">
        <f t="shared" si="21"/>
        <v>67950</v>
      </c>
      <c r="H93" s="2108">
        <f t="shared" ref="H93" si="22">+G93*C93</f>
        <v>135900</v>
      </c>
      <c r="I93" s="2138"/>
      <c r="J93" s="2139"/>
      <c r="K93" s="2138"/>
      <c r="L93" s="2140"/>
    </row>
    <row r="94" spans="1:12" s="2141" customFormat="1" x14ac:dyDescent="0.25">
      <c r="A94" s="2122"/>
      <c r="B94" s="2131"/>
      <c r="C94" s="2107"/>
      <c r="D94" s="2132"/>
      <c r="E94" s="2133"/>
      <c r="F94" s="2106"/>
      <c r="G94" s="2121"/>
      <c r="H94" s="2108"/>
      <c r="I94" s="2138"/>
      <c r="J94" s="2139"/>
      <c r="K94" s="2138"/>
      <c r="L94" s="2140"/>
    </row>
    <row r="95" spans="1:12" s="2141" customFormat="1" ht="32.4" customHeight="1" x14ac:dyDescent="0.25">
      <c r="A95" s="1595" t="s">
        <v>2742</v>
      </c>
      <c r="B95" s="2142" t="s">
        <v>2652</v>
      </c>
      <c r="C95" s="2107"/>
      <c r="D95" s="2132"/>
      <c r="E95" s="2133"/>
      <c r="F95" s="2133"/>
      <c r="G95" s="2124"/>
      <c r="H95" s="2134"/>
      <c r="I95" s="2138"/>
      <c r="J95" s="2139"/>
      <c r="K95" s="2138"/>
      <c r="L95" s="2140"/>
    </row>
    <row r="96" spans="1:12" s="2141" customFormat="1" x14ac:dyDescent="0.25">
      <c r="A96" s="2122"/>
      <c r="B96" s="2131" t="s">
        <v>1269</v>
      </c>
      <c r="C96" s="2107">
        <v>1</v>
      </c>
      <c r="D96" s="2132" t="s">
        <v>981</v>
      </c>
      <c r="E96" s="2133">
        <f>10*2650</f>
        <v>26500</v>
      </c>
      <c r="F96" s="2106">
        <f t="shared" ref="F96" si="23">+$I$1</f>
        <v>0.85</v>
      </c>
      <c r="G96" s="2121">
        <f>ROUNDUP(E96/F96,-1)</f>
        <v>31180</v>
      </c>
      <c r="H96" s="2108">
        <f>+G96*C96</f>
        <v>31180</v>
      </c>
      <c r="I96" s="2138"/>
      <c r="J96" s="2139"/>
      <c r="K96" s="2138"/>
      <c r="L96" s="2140"/>
    </row>
    <row r="97" spans="1:12" s="2141" customFormat="1" x14ac:dyDescent="0.25">
      <c r="A97" s="2122"/>
      <c r="B97" s="2110" t="s">
        <v>2498</v>
      </c>
      <c r="C97" s="2107">
        <v>1</v>
      </c>
      <c r="D97" s="2132" t="s">
        <v>981</v>
      </c>
      <c r="E97" s="2133">
        <f t="shared" ref="E97:E99" si="24">10*2650</f>
        <v>26500</v>
      </c>
      <c r="F97" s="2106">
        <f t="shared" ref="F97:F99" si="25">+$I$1</f>
        <v>0.85</v>
      </c>
      <c r="G97" s="2121">
        <f>ROUNDUP(E97/F97,-1)</f>
        <v>31180</v>
      </c>
      <c r="H97" s="2108">
        <f>+G97*C97</f>
        <v>31180</v>
      </c>
      <c r="I97" s="2138"/>
      <c r="J97" s="2139"/>
      <c r="K97" s="2138"/>
      <c r="L97" s="2140"/>
    </row>
    <row r="98" spans="1:12" s="2141" customFormat="1" x14ac:dyDescent="0.25">
      <c r="A98" s="2122"/>
      <c r="B98" s="2110" t="s">
        <v>2499</v>
      </c>
      <c r="C98" s="2107">
        <v>1</v>
      </c>
      <c r="D98" s="2132" t="s">
        <v>981</v>
      </c>
      <c r="E98" s="2133">
        <f t="shared" si="24"/>
        <v>26500</v>
      </c>
      <c r="F98" s="2106">
        <f t="shared" si="25"/>
        <v>0.85</v>
      </c>
      <c r="G98" s="2121">
        <f t="shared" ref="G98:G99" si="26">ROUNDUP(E98/F98,-1)</f>
        <v>31180</v>
      </c>
      <c r="H98" s="2108">
        <f t="shared" ref="H98:H99" si="27">+G98*C98</f>
        <v>31180</v>
      </c>
      <c r="I98" s="2138"/>
      <c r="J98" s="2139"/>
      <c r="K98" s="2138"/>
      <c r="L98" s="2140"/>
    </row>
    <row r="99" spans="1:12" s="2141" customFormat="1" x14ac:dyDescent="0.25">
      <c r="A99" s="2122"/>
      <c r="B99" s="2110" t="s">
        <v>2457</v>
      </c>
      <c r="C99" s="2107">
        <v>1</v>
      </c>
      <c r="D99" s="2132" t="s">
        <v>981</v>
      </c>
      <c r="E99" s="2133">
        <f t="shared" si="24"/>
        <v>26500</v>
      </c>
      <c r="F99" s="2106">
        <f t="shared" si="25"/>
        <v>0.85</v>
      </c>
      <c r="G99" s="2121">
        <f t="shared" si="26"/>
        <v>31180</v>
      </c>
      <c r="H99" s="2108">
        <f t="shared" si="27"/>
        <v>31180</v>
      </c>
      <c r="I99" s="2138"/>
      <c r="J99" s="2139"/>
      <c r="K99" s="2138"/>
      <c r="L99" s="2140"/>
    </row>
    <row r="100" spans="1:12" s="2141" customFormat="1" x14ac:dyDescent="0.25">
      <c r="A100" s="2122"/>
      <c r="B100" s="2110"/>
      <c r="C100" s="2107"/>
      <c r="D100" s="2132"/>
      <c r="E100" s="2133"/>
      <c r="F100" s="2106"/>
      <c r="G100" s="2121"/>
      <c r="H100" s="2108"/>
      <c r="I100" s="2138"/>
      <c r="J100" s="2139"/>
      <c r="K100" s="2138"/>
      <c r="L100" s="2140"/>
    </row>
    <row r="101" spans="1:12" s="2141" customFormat="1" x14ac:dyDescent="0.25">
      <c r="A101" s="2122"/>
      <c r="B101" s="2110"/>
      <c r="C101" s="2107"/>
      <c r="D101" s="2132"/>
      <c r="E101" s="2133"/>
      <c r="F101" s="2106"/>
      <c r="G101" s="2121"/>
      <c r="H101" s="2108"/>
      <c r="I101" s="2138"/>
      <c r="J101" s="2139"/>
      <c r="K101" s="2138"/>
      <c r="L101" s="2140"/>
    </row>
    <row r="102" spans="1:12" s="2141" customFormat="1" x14ac:dyDescent="0.25">
      <c r="A102" s="2122"/>
      <c r="B102" s="2110"/>
      <c r="C102" s="2107"/>
      <c r="D102" s="2132"/>
      <c r="E102" s="2133"/>
      <c r="F102" s="2106"/>
      <c r="G102" s="2121"/>
      <c r="H102" s="2108"/>
      <c r="I102" s="2138"/>
      <c r="J102" s="2139"/>
      <c r="K102" s="2138"/>
      <c r="L102" s="2140"/>
    </row>
    <row r="103" spans="1:12" s="2141" customFormat="1" x14ac:dyDescent="0.25">
      <c r="A103" s="2122"/>
      <c r="B103" s="2110"/>
      <c r="C103" s="2107"/>
      <c r="D103" s="2132"/>
      <c r="E103" s="2133"/>
      <c r="F103" s="2106"/>
      <c r="G103" s="2121"/>
      <c r="H103" s="2108"/>
      <c r="I103" s="2138"/>
      <c r="J103" s="2139"/>
      <c r="K103" s="2138"/>
      <c r="L103" s="2140"/>
    </row>
    <row r="104" spans="1:12" s="2141" customFormat="1" x14ac:dyDescent="0.25">
      <c r="A104" s="2122"/>
      <c r="B104" s="2110"/>
      <c r="C104" s="2107"/>
      <c r="D104" s="2132"/>
      <c r="E104" s="2133"/>
      <c r="F104" s="2133"/>
      <c r="G104" s="2124"/>
      <c r="H104" s="2134"/>
      <c r="I104" s="2138"/>
      <c r="J104" s="2139"/>
      <c r="K104" s="2138"/>
      <c r="L104" s="2140"/>
    </row>
    <row r="105" spans="1:12" s="2141" customFormat="1" ht="14.4" thickBot="1" x14ac:dyDescent="0.3">
      <c r="A105" s="2143"/>
      <c r="B105" s="2442" t="s">
        <v>743</v>
      </c>
      <c r="C105" s="2443"/>
      <c r="D105" s="2443"/>
      <c r="E105" s="2443"/>
      <c r="F105" s="2443"/>
      <c r="G105" s="2444"/>
      <c r="H105" s="2144">
        <f>SUM(H3:H104)</f>
        <v>19471520</v>
      </c>
      <c r="I105" s="2138"/>
      <c r="J105" s="2139"/>
      <c r="K105" s="2138"/>
      <c r="L105" s="2140"/>
    </row>
    <row r="106" spans="1:12" s="2141" customFormat="1" x14ac:dyDescent="0.25">
      <c r="A106" s="2145"/>
      <c r="B106" s="2146"/>
      <c r="C106" s="2147"/>
      <c r="D106" s="2148"/>
      <c r="E106" s="2149"/>
      <c r="F106" s="2149"/>
      <c r="G106" s="2147"/>
      <c r="H106" s="2148"/>
      <c r="I106" s="2138"/>
      <c r="J106" s="2139"/>
      <c r="K106" s="2138"/>
      <c r="L106" s="2140"/>
    </row>
    <row r="107" spans="1:12" s="2093" customFormat="1" ht="21" customHeight="1" x14ac:dyDescent="0.25">
      <c r="A107" s="2145"/>
      <c r="B107" s="2146"/>
      <c r="C107" s="2147"/>
      <c r="D107" s="2148"/>
      <c r="E107" s="2149"/>
      <c r="F107" s="2149"/>
      <c r="G107" s="2147"/>
      <c r="H107" s="2148"/>
    </row>
  </sheetData>
  <pageMargins left="0.37" right="0.15748031496062992" top="0.56000000000000005" bottom="0.23622047244094491" header="0.23" footer="0.27559055118110237"/>
  <pageSetup scale="95" orientation="portrait" r:id="rId1"/>
  <headerFooter alignWithMargins="0">
    <oddFooter>&amp;C&amp;P</oddFooter>
  </headerFooter>
  <rowBreaks count="1" manualBreakCount="1">
    <brk id="65" max="7"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2060"/>
  </sheetPr>
  <dimension ref="A1:J20"/>
  <sheetViews>
    <sheetView view="pageBreakPreview" zoomScaleNormal="85" zoomScaleSheetLayoutView="100" workbookViewId="0">
      <pane ySplit="1" topLeftCell="A8" activePane="bottomLeft" state="frozen"/>
      <selection activeCell="A15" sqref="A15:G15"/>
      <selection pane="bottomLeft" activeCell="B2" sqref="B2"/>
    </sheetView>
  </sheetViews>
  <sheetFormatPr defaultColWidth="9.21875" defaultRowHeight="13.8" x14ac:dyDescent="0.25"/>
  <cols>
    <col min="1" max="1" width="8.21875" style="38" customWidth="1"/>
    <col min="2" max="2" width="49.44140625" style="36" customWidth="1"/>
    <col min="3" max="3" width="9.109375" style="39" customWidth="1"/>
    <col min="4" max="4" width="5.44140625" style="38" bestFit="1" customWidth="1"/>
    <col min="5" max="5" width="9" style="1895" hidden="1" customWidth="1"/>
    <col min="6" max="6" width="7.44140625" style="1895" hidden="1" customWidth="1"/>
    <col min="7" max="7" width="10.44140625" style="202" bestFit="1" customWidth="1"/>
    <col min="8" max="8" width="11.6640625" style="39" bestFit="1" customWidth="1"/>
    <col min="9" max="9" width="9.21875" style="24"/>
    <col min="10" max="10" width="26.88671875" style="24" customWidth="1"/>
    <col min="11" max="11" width="10" style="24" bestFit="1" customWidth="1"/>
    <col min="12" max="12" width="11" style="24" bestFit="1" customWidth="1"/>
    <col min="13" max="14" width="12.88671875" style="24" bestFit="1" customWidth="1"/>
    <col min="15" max="15" width="10.33203125" style="24" bestFit="1" customWidth="1"/>
    <col min="16" max="16384" width="9.21875" style="24"/>
  </cols>
  <sheetData>
    <row r="1" spans="1:10" s="31" customFormat="1" ht="14.4" thickBot="1" x14ac:dyDescent="0.3">
      <c r="A1" s="45" t="s">
        <v>0</v>
      </c>
      <c r="B1" s="46" t="s">
        <v>1</v>
      </c>
      <c r="C1" s="47" t="s">
        <v>2</v>
      </c>
      <c r="D1" s="48" t="s">
        <v>3</v>
      </c>
      <c r="E1" s="1872" t="s">
        <v>2326</v>
      </c>
      <c r="F1" s="1872" t="s">
        <v>2327</v>
      </c>
      <c r="G1" s="188" t="s">
        <v>4</v>
      </c>
      <c r="H1" s="49" t="s">
        <v>5</v>
      </c>
      <c r="I1" s="1873">
        <v>0.85</v>
      </c>
    </row>
    <row r="2" spans="1:10" ht="14.4" thickBot="1" x14ac:dyDescent="0.3">
      <c r="A2" s="1599"/>
      <c r="B2" s="727" t="s">
        <v>2745</v>
      </c>
      <c r="C2" s="2311"/>
      <c r="D2" s="322"/>
      <c r="E2" s="2312"/>
      <c r="F2" s="2312"/>
      <c r="G2" s="323"/>
      <c r="H2" s="1591"/>
    </row>
    <row r="3" spans="1:10" ht="48" customHeight="1" x14ac:dyDescent="0.25">
      <c r="A3" s="1599" t="s">
        <v>2746</v>
      </c>
      <c r="B3" s="2313" t="s">
        <v>714</v>
      </c>
      <c r="C3" s="2311"/>
      <c r="D3" s="322"/>
      <c r="E3" s="2312"/>
      <c r="F3" s="2312"/>
      <c r="G3" s="323"/>
      <c r="H3" s="1591"/>
    </row>
    <row r="4" spans="1:10" x14ac:dyDescent="0.25">
      <c r="A4" s="1594"/>
      <c r="B4" s="303"/>
      <c r="C4" s="304"/>
      <c r="D4" s="251"/>
      <c r="E4" s="1892"/>
      <c r="F4" s="1892"/>
      <c r="G4" s="293"/>
      <c r="H4" s="1593"/>
    </row>
    <row r="5" spans="1:10" ht="123.6" customHeight="1" x14ac:dyDescent="0.25">
      <c r="A5" s="1594"/>
      <c r="B5" s="303" t="s">
        <v>2455</v>
      </c>
      <c r="C5" s="304"/>
      <c r="D5" s="251"/>
      <c r="E5" s="1892"/>
      <c r="F5" s="1892"/>
      <c r="G5" s="251"/>
      <c r="H5" s="1593"/>
      <c r="J5" s="2847" t="s">
        <v>2756</v>
      </c>
    </row>
    <row r="6" spans="1:10" x14ac:dyDescent="0.25">
      <c r="A6" s="1594" t="s">
        <v>2747</v>
      </c>
      <c r="B6" s="303" t="s">
        <v>715</v>
      </c>
      <c r="C6" s="304">
        <f>4+17</f>
        <v>21</v>
      </c>
      <c r="D6" s="251" t="s">
        <v>1394</v>
      </c>
      <c r="E6" s="1892">
        <f>+J6*10.76</f>
        <v>3550.7999999999997</v>
      </c>
      <c r="F6" s="1877">
        <f>+$I$1</f>
        <v>0.85</v>
      </c>
      <c r="G6" s="2231">
        <f>ROUNDUP(E6/F6,-1)</f>
        <v>4180</v>
      </c>
      <c r="H6" s="1665">
        <f>+G6*C6</f>
        <v>87780</v>
      </c>
      <c r="J6" s="24">
        <f>275*1.2</f>
        <v>330</v>
      </c>
    </row>
    <row r="7" spans="1:10" x14ac:dyDescent="0.25">
      <c r="A7" s="1594" t="s">
        <v>2748</v>
      </c>
      <c r="B7" s="303" t="s">
        <v>716</v>
      </c>
      <c r="C7" s="304">
        <f>13+51</f>
        <v>64</v>
      </c>
      <c r="D7" s="251" t="s">
        <v>1394</v>
      </c>
      <c r="E7" s="1892">
        <f>+E6*1.01</f>
        <v>3586.3079999999995</v>
      </c>
      <c r="F7" s="1877">
        <f>+$I$1</f>
        <v>0.85</v>
      </c>
      <c r="G7" s="2231">
        <f>ROUNDUP(E7/F7,-1)</f>
        <v>4220</v>
      </c>
      <c r="H7" s="1665">
        <f>+G7*C7</f>
        <v>270080</v>
      </c>
    </row>
    <row r="8" spans="1:10" x14ac:dyDescent="0.25">
      <c r="A8" s="1594" t="s">
        <v>2749</v>
      </c>
      <c r="B8" s="303" t="s">
        <v>2456</v>
      </c>
      <c r="C8" s="304">
        <v>64</v>
      </c>
      <c r="D8" s="251" t="s">
        <v>1394</v>
      </c>
      <c r="E8" s="1892">
        <f>+E6*1.02</f>
        <v>3621.8159999999998</v>
      </c>
      <c r="F8" s="1877">
        <f>+$I$1</f>
        <v>0.85</v>
      </c>
      <c r="G8" s="2231">
        <f>ROUNDUP(E8/F8,-1)</f>
        <v>4270</v>
      </c>
      <c r="H8" s="1665">
        <f>+G8*C8</f>
        <v>273280</v>
      </c>
    </row>
    <row r="9" spans="1:10" x14ac:dyDescent="0.25">
      <c r="A9" s="1594" t="s">
        <v>2750</v>
      </c>
      <c r="B9" s="303" t="s">
        <v>2457</v>
      </c>
      <c r="C9" s="304">
        <v>22.9</v>
      </c>
      <c r="D9" s="251" t="s">
        <v>1394</v>
      </c>
      <c r="E9" s="1892">
        <f>+E6*1.03</f>
        <v>3657.3239999999996</v>
      </c>
      <c r="F9" s="1877">
        <f t="shared" ref="F9" si="0">+$I$1</f>
        <v>0.85</v>
      </c>
      <c r="G9" s="2231">
        <f t="shared" ref="G9" si="1">ROUNDUP(E9/F9,-1)</f>
        <v>4310</v>
      </c>
      <c r="H9" s="1665">
        <f>+G9*C9</f>
        <v>98699</v>
      </c>
    </row>
    <row r="10" spans="1:10" ht="13.2" customHeight="1" x14ac:dyDescent="0.25">
      <c r="A10" s="1594"/>
      <c r="B10" s="303"/>
      <c r="C10" s="304"/>
      <c r="D10" s="251"/>
      <c r="E10" s="1892"/>
      <c r="F10" s="1892"/>
      <c r="G10" s="2231"/>
      <c r="H10" s="1665"/>
    </row>
    <row r="11" spans="1:10" x14ac:dyDescent="0.25">
      <c r="A11" s="1594"/>
      <c r="B11" s="303"/>
      <c r="C11" s="304"/>
      <c r="D11" s="251"/>
      <c r="E11" s="1892"/>
      <c r="F11" s="1892"/>
      <c r="G11" s="293"/>
      <c r="H11" s="1593"/>
    </row>
    <row r="12" spans="1:10" ht="49.2" customHeight="1" x14ac:dyDescent="0.25">
      <c r="A12" s="1594" t="s">
        <v>2751</v>
      </c>
      <c r="B12" s="303" t="s">
        <v>2458</v>
      </c>
      <c r="C12" s="304"/>
      <c r="D12" s="251"/>
      <c r="E12" s="1892"/>
      <c r="F12" s="1892"/>
      <c r="G12" s="293"/>
      <c r="H12" s="1593"/>
    </row>
    <row r="13" spans="1:10" x14ac:dyDescent="0.25">
      <c r="A13" s="1594"/>
      <c r="B13" s="303"/>
      <c r="C13" s="304"/>
      <c r="D13" s="251"/>
      <c r="E13" s="1892"/>
      <c r="F13" s="1892"/>
      <c r="G13" s="293"/>
      <c r="H13" s="1593"/>
    </row>
    <row r="14" spans="1:10" ht="138" x14ac:dyDescent="0.25">
      <c r="A14" s="1594"/>
      <c r="B14" s="324" t="s">
        <v>1859</v>
      </c>
      <c r="C14" s="304"/>
      <c r="D14" s="251"/>
      <c r="E14" s="1892"/>
      <c r="F14" s="1892"/>
      <c r="G14" s="293"/>
      <c r="H14" s="1593"/>
    </row>
    <row r="15" spans="1:10" x14ac:dyDescent="0.25">
      <c r="A15" s="1594" t="s">
        <v>2752</v>
      </c>
      <c r="B15" s="303" t="s">
        <v>716</v>
      </c>
      <c r="C15" s="304">
        <v>28</v>
      </c>
      <c r="D15" s="251" t="s">
        <v>1394</v>
      </c>
      <c r="E15" s="1892">
        <f>+E6</f>
        <v>3550.7999999999997</v>
      </c>
      <c r="F15" s="1877">
        <f t="shared" ref="F15:F18" si="2">+$I$1</f>
        <v>0.85</v>
      </c>
      <c r="G15" s="2231">
        <f t="shared" ref="G15:G17" si="3">ROUNDUP(E15/F15,-1)</f>
        <v>4180</v>
      </c>
      <c r="H15" s="1665">
        <f>+G15*C15</f>
        <v>117040</v>
      </c>
    </row>
    <row r="16" spans="1:10" x14ac:dyDescent="0.25">
      <c r="A16" s="1594" t="s">
        <v>2753</v>
      </c>
      <c r="B16" s="303" t="s">
        <v>2456</v>
      </c>
      <c r="C16" s="304">
        <v>28</v>
      </c>
      <c r="D16" s="251" t="s">
        <v>1394</v>
      </c>
      <c r="E16" s="1892">
        <f>+E7</f>
        <v>3586.3079999999995</v>
      </c>
      <c r="F16" s="1877">
        <f t="shared" si="2"/>
        <v>0.85</v>
      </c>
      <c r="G16" s="2231">
        <f t="shared" si="3"/>
        <v>4220</v>
      </c>
      <c r="H16" s="1665">
        <f>+G16*C16</f>
        <v>118160</v>
      </c>
    </row>
    <row r="17" spans="1:8" x14ac:dyDescent="0.25">
      <c r="A17" s="1594" t="s">
        <v>2754</v>
      </c>
      <c r="B17" s="303" t="s">
        <v>2457</v>
      </c>
      <c r="C17" s="304">
        <f>98+19</f>
        <v>117</v>
      </c>
      <c r="D17" s="251" t="s">
        <v>1394</v>
      </c>
      <c r="E17" s="1892">
        <f>+E9</f>
        <v>3657.3239999999996</v>
      </c>
      <c r="F17" s="1877">
        <f t="shared" si="2"/>
        <v>0.85</v>
      </c>
      <c r="G17" s="2231">
        <f t="shared" si="3"/>
        <v>4310</v>
      </c>
      <c r="H17" s="1665">
        <f>+G17*C17</f>
        <v>504270</v>
      </c>
    </row>
    <row r="18" spans="1:8" x14ac:dyDescent="0.25">
      <c r="A18" s="1594" t="s">
        <v>2755</v>
      </c>
      <c r="B18" s="303" t="s">
        <v>1268</v>
      </c>
      <c r="C18" s="304">
        <v>52</v>
      </c>
      <c r="D18" s="251" t="s">
        <v>1394</v>
      </c>
      <c r="E18" s="1892">
        <f>+E15*1.04</f>
        <v>3692.8319999999999</v>
      </c>
      <c r="F18" s="1877">
        <f t="shared" si="2"/>
        <v>0.85</v>
      </c>
      <c r="G18" s="2638">
        <f t="shared" ref="G18" si="4">ROUNDUP(E18/F18,-1)</f>
        <v>4350</v>
      </c>
      <c r="H18" s="1665">
        <f>+G18*C18</f>
        <v>226200</v>
      </c>
    </row>
    <row r="19" spans="1:8" ht="14.4" thickBot="1" x14ac:dyDescent="0.3">
      <c r="A19" s="1597"/>
      <c r="B19" s="728"/>
      <c r="C19" s="729"/>
      <c r="D19" s="730"/>
      <c r="E19" s="1893"/>
      <c r="F19" s="1893"/>
      <c r="G19" s="731"/>
      <c r="H19" s="1598"/>
    </row>
    <row r="20" spans="1:8" s="12" customFormat="1" ht="31.8" customHeight="1" thickBot="1" x14ac:dyDescent="0.3">
      <c r="A20" s="313"/>
      <c r="B20" s="1601" t="s">
        <v>732</v>
      </c>
      <c r="C20" s="314"/>
      <c r="D20" s="315"/>
      <c r="E20" s="1894"/>
      <c r="F20" s="1894"/>
      <c r="G20" s="316"/>
      <c r="H20" s="2005">
        <f>SUM(H6:H19)</f>
        <v>1695509</v>
      </c>
    </row>
  </sheetData>
  <pageMargins left="0.43307086614173229" right="0.35433070866141736" top="0.51181102362204722" bottom="0.23622047244094491" header="0.31496062992125984" footer="0.23622047244094491"/>
  <pageSetup scale="105" fitToHeight="0" orientation="portrait" r:id="rId1"/>
  <headerFooter alignWithMargins="0">
    <oddFooter>&amp;C&amp;P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2060"/>
  </sheetPr>
  <dimension ref="A1:J55"/>
  <sheetViews>
    <sheetView tabSelected="1" view="pageBreakPreview" topLeftCell="A27" zoomScale="90" zoomScaleNormal="85" zoomScaleSheetLayoutView="90" workbookViewId="0">
      <selection activeCell="M34" sqref="M34"/>
    </sheetView>
  </sheetViews>
  <sheetFormatPr defaultColWidth="9.21875" defaultRowHeight="15.6" x14ac:dyDescent="0.25"/>
  <cols>
    <col min="1" max="1" width="7.21875" style="2526" customWidth="1"/>
    <col min="2" max="2" width="47.44140625" style="2527" customWidth="1"/>
    <col min="3" max="3" width="6.44140625" style="2528" customWidth="1"/>
    <col min="4" max="4" width="8.77734375" style="2528" bestFit="1" customWidth="1"/>
    <col min="5" max="5" width="14.44140625" style="2529" hidden="1" customWidth="1"/>
    <col min="6" max="6" width="12.33203125" style="2529" hidden="1" customWidth="1"/>
    <col min="7" max="7" width="14.44140625" style="2530" customWidth="1"/>
    <col min="8" max="8" width="15.109375" style="2531" bestFit="1" customWidth="1"/>
    <col min="9" max="9" width="9.33203125" style="2479" bestFit="1" customWidth="1"/>
    <col min="10" max="10" width="12.44140625" style="2479" bestFit="1" customWidth="1"/>
    <col min="11" max="11" width="10" style="2479" bestFit="1" customWidth="1"/>
    <col min="12" max="12" width="11" style="2479" bestFit="1" customWidth="1"/>
    <col min="13" max="14" width="12.88671875" style="2479" bestFit="1" customWidth="1"/>
    <col min="15" max="15" width="11.88671875" style="2479" bestFit="1" customWidth="1"/>
    <col min="16" max="16" width="9.21875" style="2479"/>
    <col min="17" max="17" width="10.44140625" style="2479" bestFit="1" customWidth="1"/>
    <col min="18" max="16384" width="9.21875" style="2479"/>
  </cols>
  <sheetData>
    <row r="1" spans="1:10" s="2492" customFormat="1" ht="16.2" thickBot="1" x14ac:dyDescent="0.35">
      <c r="A1" s="2484" t="s">
        <v>0</v>
      </c>
      <c r="B1" s="2485" t="s">
        <v>1</v>
      </c>
      <c r="C1" s="2486" t="s">
        <v>2</v>
      </c>
      <c r="D1" s="2487" t="s">
        <v>3</v>
      </c>
      <c r="E1" s="2488" t="s">
        <v>2326</v>
      </c>
      <c r="F1" s="2489" t="s">
        <v>2327</v>
      </c>
      <c r="G1" s="2490" t="s">
        <v>4</v>
      </c>
      <c r="H1" s="2491" t="s">
        <v>5</v>
      </c>
      <c r="I1" s="2492">
        <f>+summary!D18</f>
        <v>0.75</v>
      </c>
    </row>
    <row r="2" spans="1:10" s="2501" customFormat="1" x14ac:dyDescent="0.3">
      <c r="A2" s="2493" t="s">
        <v>565</v>
      </c>
      <c r="B2" s="2494" t="s">
        <v>2679</v>
      </c>
      <c r="C2" s="2495"/>
      <c r="D2" s="2496"/>
      <c r="E2" s="2497"/>
      <c r="F2" s="2498"/>
      <c r="G2" s="2499"/>
      <c r="H2" s="2500"/>
    </row>
    <row r="3" spans="1:10" s="2492" customFormat="1" x14ac:dyDescent="0.3">
      <c r="A3" s="2502"/>
      <c r="B3" s="2481"/>
      <c r="C3" s="2503"/>
      <c r="D3" s="2475"/>
      <c r="E3" s="2476"/>
      <c r="F3" s="2482"/>
      <c r="G3" s="2483"/>
      <c r="H3" s="2478"/>
    </row>
    <row r="4" spans="1:10" s="2510" customFormat="1" ht="31.2" x14ac:dyDescent="0.25">
      <c r="A4" s="2472"/>
      <c r="B4" s="2473" t="s">
        <v>2676</v>
      </c>
      <c r="C4" s="2504"/>
      <c r="D4" s="2505"/>
      <c r="E4" s="2506"/>
      <c r="F4" s="2507"/>
      <c r="G4" s="2508"/>
      <c r="H4" s="2509"/>
    </row>
    <row r="5" spans="1:10" x14ac:dyDescent="0.25">
      <c r="A5" s="2480"/>
      <c r="B5" s="2481"/>
      <c r="C5" s="2474"/>
      <c r="D5" s="2475"/>
      <c r="E5" s="2476"/>
      <c r="F5" s="2482"/>
      <c r="G5" s="2483"/>
      <c r="H5" s="2478"/>
      <c r="J5" s="2479">
        <f>16.4*10.76</f>
        <v>176.46399999999997</v>
      </c>
    </row>
    <row r="6" spans="1:10" x14ac:dyDescent="0.25">
      <c r="A6" s="2472" t="s">
        <v>2757</v>
      </c>
      <c r="B6" s="2473" t="s">
        <v>2556</v>
      </c>
      <c r="C6" s="2474"/>
      <c r="D6" s="2475"/>
      <c r="E6" s="2476"/>
      <c r="F6" s="2482"/>
      <c r="G6" s="2483"/>
      <c r="H6" s="2478"/>
      <c r="J6" s="2479">
        <f>+J5*4</f>
        <v>705.85599999999988</v>
      </c>
    </row>
    <row r="7" spans="1:10" x14ac:dyDescent="0.25">
      <c r="A7" s="2480"/>
      <c r="B7" s="2481"/>
      <c r="C7" s="2474"/>
      <c r="D7" s="2475"/>
      <c r="E7" s="2476"/>
      <c r="F7" s="2482"/>
      <c r="G7" s="2483"/>
      <c r="H7" s="2478"/>
    </row>
    <row r="8" spans="1:10" x14ac:dyDescent="0.25">
      <c r="A8" s="2511" t="s">
        <v>2758</v>
      </c>
      <c r="B8" s="2481" t="s">
        <v>2642</v>
      </c>
      <c r="C8" s="2474" t="s">
        <v>2557</v>
      </c>
      <c r="D8" s="2475">
        <f>19.75*0.15*1.2</f>
        <v>3.5549999999999997</v>
      </c>
      <c r="E8" s="2476">
        <f>+'Rate Breakdowns'!G532*1.2</f>
        <v>39113.53125</v>
      </c>
      <c r="F8" s="2477">
        <f>+$I$1</f>
        <v>0.75</v>
      </c>
      <c r="G8" s="2651">
        <f>ROUNDUP(E8/F8,-1)</f>
        <v>52160</v>
      </c>
      <c r="H8" s="2478">
        <f>+G8*D8</f>
        <v>185428.8</v>
      </c>
    </row>
    <row r="9" spans="1:10" x14ac:dyDescent="0.25">
      <c r="A9" s="2511" t="s">
        <v>2759</v>
      </c>
      <c r="B9" s="2481" t="s">
        <v>1412</v>
      </c>
      <c r="C9" s="2474" t="s">
        <v>2557</v>
      </c>
      <c r="D9" s="2475">
        <v>1.8</v>
      </c>
      <c r="E9" s="2476">
        <f>+E8</f>
        <v>39113.53125</v>
      </c>
      <c r="F9" s="2477">
        <f>+$I$1</f>
        <v>0.75</v>
      </c>
      <c r="G9" s="2651">
        <f>ROUNDUP(E9/F9,-1)</f>
        <v>52160</v>
      </c>
      <c r="H9" s="2478">
        <f>+G9*D9</f>
        <v>93888</v>
      </c>
    </row>
    <row r="10" spans="1:10" x14ac:dyDescent="0.25">
      <c r="A10" s="2480"/>
      <c r="B10" s="2481"/>
      <c r="C10" s="2474"/>
      <c r="D10" s="2475"/>
      <c r="E10" s="2476"/>
      <c r="F10" s="2482"/>
      <c r="G10" s="2483"/>
      <c r="H10" s="2478"/>
    </row>
    <row r="11" spans="1:10" x14ac:dyDescent="0.25">
      <c r="A11" s="2472" t="s">
        <v>2760</v>
      </c>
      <c r="B11" s="2473" t="s">
        <v>2311</v>
      </c>
      <c r="C11" s="2474"/>
      <c r="D11" s="2475"/>
      <c r="E11" s="2476"/>
      <c r="F11" s="2482"/>
      <c r="G11" s="2483"/>
      <c r="H11" s="2478"/>
    </row>
    <row r="12" spans="1:10" x14ac:dyDescent="0.25">
      <c r="A12" s="2480" t="s">
        <v>2762</v>
      </c>
      <c r="B12" s="2481" t="s">
        <v>2559</v>
      </c>
      <c r="C12" s="2474" t="s">
        <v>2558</v>
      </c>
      <c r="D12" s="2475">
        <f>19.75*2*1.2</f>
        <v>47.4</v>
      </c>
      <c r="E12" s="2476">
        <v>2650</v>
      </c>
      <c r="F12" s="2477">
        <f>+$I$1</f>
        <v>0.75</v>
      </c>
      <c r="G12" s="2651">
        <f>ROUNDUP(E12/F12,-1)</f>
        <v>3540</v>
      </c>
      <c r="H12" s="2478">
        <f>+G12*D12</f>
        <v>167796</v>
      </c>
    </row>
    <row r="13" spans="1:10" x14ac:dyDescent="0.25">
      <c r="A13" s="2480" t="s">
        <v>2763</v>
      </c>
      <c r="B13" s="2481" t="s">
        <v>1412</v>
      </c>
      <c r="C13" s="2474" t="s">
        <v>2558</v>
      </c>
      <c r="D13" s="2475">
        <v>2.5</v>
      </c>
      <c r="E13" s="2476">
        <v>2650</v>
      </c>
      <c r="F13" s="2477">
        <f>+$I$1</f>
        <v>0.75</v>
      </c>
      <c r="G13" s="2651">
        <f>ROUNDUP(E13/F13,-1)</f>
        <v>3540</v>
      </c>
      <c r="H13" s="2478">
        <f>+G13*D13</f>
        <v>8850</v>
      </c>
    </row>
    <row r="14" spans="1:10" x14ac:dyDescent="0.25">
      <c r="A14" s="2480"/>
      <c r="B14" s="2481"/>
      <c r="C14" s="2474"/>
      <c r="D14" s="2475"/>
      <c r="E14" s="2476"/>
      <c r="F14" s="2482"/>
      <c r="G14" s="2483"/>
      <c r="H14" s="2478"/>
    </row>
    <row r="15" spans="1:10" x14ac:dyDescent="0.25">
      <c r="A15" s="2472" t="s">
        <v>2761</v>
      </c>
      <c r="B15" s="2473" t="s">
        <v>1964</v>
      </c>
      <c r="C15" s="2474"/>
      <c r="D15" s="2475"/>
      <c r="E15" s="2476"/>
      <c r="F15" s="2482"/>
      <c r="G15" s="2483"/>
      <c r="H15" s="2478"/>
    </row>
    <row r="16" spans="1:10" x14ac:dyDescent="0.25">
      <c r="A16" s="2512" t="s">
        <v>2764</v>
      </c>
      <c r="B16" s="2481" t="s">
        <v>2560</v>
      </c>
      <c r="C16" s="2474" t="s">
        <v>2312</v>
      </c>
      <c r="D16" s="2475">
        <f>+D8*250</f>
        <v>888.74999999999989</v>
      </c>
      <c r="E16" s="2476">
        <v>469.07046874999997</v>
      </c>
      <c r="F16" s="2477">
        <f>+$I$1</f>
        <v>0.75</v>
      </c>
      <c r="G16" s="2651">
        <f>ROUNDUP(E16/F16,-1)</f>
        <v>630</v>
      </c>
      <c r="H16" s="2478">
        <f>+G16*D16</f>
        <v>559912.49999999988</v>
      </c>
    </row>
    <row r="17" spans="1:8" x14ac:dyDescent="0.25">
      <c r="A17" s="2512" t="s">
        <v>2765</v>
      </c>
      <c r="B17" s="2481" t="s">
        <v>1412</v>
      </c>
      <c r="C17" s="2474" t="s">
        <v>2312</v>
      </c>
      <c r="D17" s="2475">
        <f>+D9*85</f>
        <v>153</v>
      </c>
      <c r="E17" s="2476">
        <v>469.07046874999997</v>
      </c>
      <c r="F17" s="2477">
        <f>+$I$1</f>
        <v>0.75</v>
      </c>
      <c r="G17" s="2651">
        <f>ROUNDUP(E17/F17,-1)</f>
        <v>630</v>
      </c>
      <c r="H17" s="2478">
        <f>+G17*D17</f>
        <v>96390</v>
      </c>
    </row>
    <row r="18" spans="1:8" x14ac:dyDescent="0.25">
      <c r="A18" s="2480"/>
      <c r="B18" s="2481"/>
      <c r="C18" s="2474"/>
      <c r="D18" s="2475"/>
      <c r="E18" s="2476"/>
      <c r="F18" s="2482"/>
      <c r="G18" s="2483"/>
      <c r="H18" s="2478"/>
    </row>
    <row r="19" spans="1:8" x14ac:dyDescent="0.25">
      <c r="A19" s="2472" t="s">
        <v>2766</v>
      </c>
      <c r="B19" s="2473" t="s">
        <v>2561</v>
      </c>
      <c r="C19" s="2474"/>
      <c r="D19" s="2475"/>
      <c r="E19" s="2476"/>
      <c r="F19" s="2482"/>
      <c r="G19" s="2483"/>
      <c r="H19" s="2478"/>
    </row>
    <row r="20" spans="1:8" x14ac:dyDescent="0.25">
      <c r="A20" s="2480" t="s">
        <v>2767</v>
      </c>
      <c r="B20" s="2481" t="s">
        <v>2667</v>
      </c>
      <c r="C20" s="2474" t="s">
        <v>2558</v>
      </c>
      <c r="D20" s="2475">
        <v>16.04</v>
      </c>
      <c r="E20" s="2476">
        <f>+'Rate Breakdowns'!H946</f>
        <v>1343.1478740581272</v>
      </c>
      <c r="F20" s="2477">
        <f>+$I$1</f>
        <v>0.75</v>
      </c>
      <c r="G20" s="2651">
        <f>ROUNDUP(E20/F20,-1)</f>
        <v>1800</v>
      </c>
      <c r="H20" s="2478">
        <f>+G20*D20</f>
        <v>28872</v>
      </c>
    </row>
    <row r="21" spans="1:8" x14ac:dyDescent="0.25">
      <c r="A21" s="2480"/>
      <c r="B21" s="2481"/>
      <c r="C21" s="2474"/>
      <c r="D21" s="2475"/>
      <c r="E21" s="2476"/>
      <c r="F21" s="2482"/>
      <c r="G21" s="2483"/>
      <c r="H21" s="2478"/>
    </row>
    <row r="22" spans="1:8" x14ac:dyDescent="0.25">
      <c r="A22" s="2472" t="s">
        <v>2768</v>
      </c>
      <c r="B22" s="2473" t="s">
        <v>2666</v>
      </c>
      <c r="C22" s="2474"/>
      <c r="D22" s="2475"/>
      <c r="E22" s="2476"/>
      <c r="F22" s="2482"/>
      <c r="G22" s="2483"/>
      <c r="H22" s="2478"/>
    </row>
    <row r="23" spans="1:8" x14ac:dyDescent="0.25">
      <c r="A23" s="2480" t="s">
        <v>2769</v>
      </c>
      <c r="B23" s="2481" t="s">
        <v>2670</v>
      </c>
      <c r="C23" s="2474" t="s">
        <v>2558</v>
      </c>
      <c r="D23" s="2475">
        <v>16.04</v>
      </c>
      <c r="E23" s="2476">
        <f>+E20</f>
        <v>1343.1478740581272</v>
      </c>
      <c r="F23" s="2477">
        <f t="shared" ref="F23:F24" si="0">+$I$1</f>
        <v>0.75</v>
      </c>
      <c r="G23" s="2651">
        <f t="shared" ref="G23:G24" si="1">ROUNDUP(E23/F23,-1)</f>
        <v>1800</v>
      </c>
      <c r="H23" s="2478">
        <f t="shared" ref="H23:H24" si="2">+G23*D23</f>
        <v>28872</v>
      </c>
    </row>
    <row r="24" spans="1:8" x14ac:dyDescent="0.25">
      <c r="A24" s="2480" t="s">
        <v>2770</v>
      </c>
      <c r="B24" s="2481" t="s">
        <v>2671</v>
      </c>
      <c r="C24" s="2474" t="s">
        <v>2558</v>
      </c>
      <c r="D24" s="2475">
        <v>16.04</v>
      </c>
      <c r="E24" s="2476">
        <f>+E20*1.05</f>
        <v>1410.3052677610335</v>
      </c>
      <c r="F24" s="2477">
        <f t="shared" si="0"/>
        <v>0.75</v>
      </c>
      <c r="G24" s="2651">
        <f t="shared" si="1"/>
        <v>1890</v>
      </c>
      <c r="H24" s="2478">
        <f t="shared" si="2"/>
        <v>30315.599999999999</v>
      </c>
    </row>
    <row r="25" spans="1:8" x14ac:dyDescent="0.25">
      <c r="A25" s="2480"/>
      <c r="B25" s="2481"/>
      <c r="C25" s="2474"/>
      <c r="D25" s="2475"/>
      <c r="E25" s="2476"/>
      <c r="F25" s="2482"/>
      <c r="G25" s="2483"/>
      <c r="H25" s="2478"/>
    </row>
    <row r="26" spans="1:8" x14ac:dyDescent="0.25">
      <c r="A26" s="2472" t="s">
        <v>2771</v>
      </c>
      <c r="B26" s="2473" t="s">
        <v>2692</v>
      </c>
      <c r="C26" s="2474"/>
      <c r="D26" s="2475"/>
      <c r="E26" s="2476"/>
      <c r="F26" s="2477"/>
      <c r="G26" s="2651"/>
      <c r="H26" s="2478"/>
    </row>
    <row r="27" spans="1:8" x14ac:dyDescent="0.25">
      <c r="A27" s="2480" t="s">
        <v>2769</v>
      </c>
      <c r="B27" s="2481" t="s">
        <v>2660</v>
      </c>
      <c r="C27" s="2474" t="s">
        <v>2558</v>
      </c>
      <c r="D27" s="2475">
        <v>16</v>
      </c>
      <c r="E27" s="2476">
        <v>5800</v>
      </c>
      <c r="F27" s="2477">
        <f t="shared" ref="F27:F28" si="3">+$I$1</f>
        <v>0.75</v>
      </c>
      <c r="G27" s="2651">
        <f t="shared" ref="G27:G28" si="4">ROUNDUP(E27/F27,-1)</f>
        <v>7740</v>
      </c>
      <c r="H27" s="2478">
        <f>+G27*D27</f>
        <v>123840</v>
      </c>
    </row>
    <row r="28" spans="1:8" x14ac:dyDescent="0.25">
      <c r="A28" s="2480" t="s">
        <v>2770</v>
      </c>
      <c r="B28" s="2481" t="s">
        <v>2661</v>
      </c>
      <c r="C28" s="2474" t="s">
        <v>2558</v>
      </c>
      <c r="D28" s="2475">
        <v>20</v>
      </c>
      <c r="E28" s="2476">
        <v>5800</v>
      </c>
      <c r="F28" s="2477">
        <f t="shared" si="3"/>
        <v>0.75</v>
      </c>
      <c r="G28" s="2651">
        <f t="shared" si="4"/>
        <v>7740</v>
      </c>
      <c r="H28" s="2478">
        <f t="shared" ref="H28" si="5">+G28*D28</f>
        <v>154800</v>
      </c>
    </row>
    <row r="29" spans="1:8" x14ac:dyDescent="0.25">
      <c r="A29" s="2480"/>
      <c r="B29" s="2481"/>
      <c r="C29" s="2474"/>
      <c r="D29" s="2475"/>
      <c r="E29" s="2476"/>
      <c r="F29" s="2482"/>
      <c r="G29" s="2483"/>
      <c r="H29" s="2478"/>
    </row>
    <row r="30" spans="1:8" x14ac:dyDescent="0.25">
      <c r="A30" s="2472" t="s">
        <v>2772</v>
      </c>
      <c r="B30" s="2473" t="s">
        <v>2562</v>
      </c>
      <c r="C30" s="2474"/>
      <c r="D30" s="2475"/>
      <c r="E30" s="2476"/>
      <c r="F30" s="2482"/>
      <c r="G30" s="2483"/>
      <c r="H30" s="2478"/>
    </row>
    <row r="31" spans="1:8" x14ac:dyDescent="0.25">
      <c r="A31" s="2480" t="s">
        <v>2773</v>
      </c>
      <c r="B31" s="2481" t="s">
        <v>2563</v>
      </c>
      <c r="C31" s="2474" t="s">
        <v>2558</v>
      </c>
      <c r="D31" s="2475">
        <v>16</v>
      </c>
      <c r="E31" s="2476">
        <f>+'Rate Breakdowns'!G1326</f>
        <v>14232.545075349839</v>
      </c>
      <c r="F31" s="2477">
        <f t="shared" ref="F31:F32" si="6">+$I$1</f>
        <v>0.75</v>
      </c>
      <c r="G31" s="2651">
        <f t="shared" ref="G31:G32" si="7">ROUNDUP(E31/F31,-1)</f>
        <v>18980</v>
      </c>
      <c r="H31" s="2478">
        <f>+G31*D31</f>
        <v>303680</v>
      </c>
    </row>
    <row r="32" spans="1:8" x14ac:dyDescent="0.25">
      <c r="A32" s="2480" t="s">
        <v>2774</v>
      </c>
      <c r="B32" s="2481" t="s">
        <v>2564</v>
      </c>
      <c r="C32" s="2474" t="s">
        <v>2558</v>
      </c>
      <c r="D32" s="2475">
        <v>20</v>
      </c>
      <c r="E32" s="2476">
        <f>+'Rate Breakdowns'!G1326</f>
        <v>14232.545075349839</v>
      </c>
      <c r="F32" s="2477">
        <f t="shared" si="6"/>
        <v>0.75</v>
      </c>
      <c r="G32" s="2651">
        <f t="shared" si="7"/>
        <v>18980</v>
      </c>
      <c r="H32" s="2478">
        <f t="shared" ref="H32" si="8">+G32*D32</f>
        <v>379600</v>
      </c>
    </row>
    <row r="33" spans="1:9" x14ac:dyDescent="0.25">
      <c r="A33" s="2480"/>
      <c r="B33" s="2481"/>
      <c r="C33" s="2474"/>
      <c r="D33" s="2475"/>
      <c r="E33" s="2476"/>
      <c r="F33" s="2482"/>
      <c r="G33" s="2483"/>
      <c r="H33" s="2478"/>
    </row>
    <row r="34" spans="1:9" x14ac:dyDescent="0.25">
      <c r="A34" s="2472" t="s">
        <v>2775</v>
      </c>
      <c r="B34" s="2473" t="s">
        <v>2565</v>
      </c>
      <c r="C34" s="2474" t="s">
        <v>2558</v>
      </c>
      <c r="D34" s="2475">
        <v>24.63</v>
      </c>
      <c r="E34" s="2476">
        <v>19520</v>
      </c>
      <c r="F34" s="2477">
        <f>+$I$1</f>
        <v>0.75</v>
      </c>
      <c r="G34" s="2651">
        <f>ROUNDUP(E34/F34,-1)</f>
        <v>26030</v>
      </c>
      <c r="H34" s="2478">
        <f>+G34*D34</f>
        <v>641118.9</v>
      </c>
    </row>
    <row r="35" spans="1:9" x14ac:dyDescent="0.25">
      <c r="A35" s="2480"/>
      <c r="B35" s="2481"/>
      <c r="C35" s="2474"/>
      <c r="D35" s="2475"/>
      <c r="E35" s="2476"/>
      <c r="F35" s="2482"/>
      <c r="G35" s="2483"/>
      <c r="H35" s="2478"/>
    </row>
    <row r="36" spans="1:9" x14ac:dyDescent="0.25">
      <c r="A36" s="2472" t="s">
        <v>2776</v>
      </c>
      <c r="B36" s="2473" t="s">
        <v>2566</v>
      </c>
      <c r="C36" s="2474" t="s">
        <v>56</v>
      </c>
      <c r="D36" s="2475">
        <v>17</v>
      </c>
      <c r="E36" s="2476">
        <v>8200</v>
      </c>
      <c r="F36" s="2477">
        <f>+$I$1</f>
        <v>0.75</v>
      </c>
      <c r="G36" s="2651">
        <f>ROUNDUP(E36/F36,-1)</f>
        <v>10940</v>
      </c>
      <c r="H36" s="2478">
        <f>+G36*D36</f>
        <v>185980</v>
      </c>
    </row>
    <row r="37" spans="1:9" x14ac:dyDescent="0.25">
      <c r="A37" s="2480"/>
      <c r="B37" s="2481"/>
      <c r="C37" s="2474"/>
      <c r="D37" s="2475"/>
      <c r="E37" s="2476"/>
      <c r="F37" s="2482"/>
      <c r="G37" s="2483"/>
      <c r="H37" s="2478"/>
    </row>
    <row r="38" spans="1:9" x14ac:dyDescent="0.25">
      <c r="A38" s="2472" t="s">
        <v>2777</v>
      </c>
      <c r="B38" s="2473" t="s">
        <v>2567</v>
      </c>
      <c r="C38" s="2474" t="s">
        <v>56</v>
      </c>
      <c r="D38" s="2475">
        <f>16.5*3</f>
        <v>49.5</v>
      </c>
      <c r="E38" s="2476">
        <v>3150</v>
      </c>
      <c r="F38" s="2477">
        <f>+$I$1</f>
        <v>0.75</v>
      </c>
      <c r="G38" s="2651">
        <f>ROUNDUP(E38/F38,-1)</f>
        <v>4200</v>
      </c>
      <c r="H38" s="2478">
        <f>+G38*D38</f>
        <v>207900</v>
      </c>
    </row>
    <row r="39" spans="1:9" x14ac:dyDescent="0.25">
      <c r="A39" s="2480"/>
      <c r="B39" s="2481"/>
      <c r="C39" s="2474"/>
      <c r="D39" s="2475"/>
      <c r="E39" s="2476"/>
      <c r="F39" s="2482"/>
      <c r="G39" s="2483"/>
      <c r="H39" s="2478"/>
    </row>
    <row r="40" spans="1:9" x14ac:dyDescent="0.25">
      <c r="A40" s="2472" t="s">
        <v>2778</v>
      </c>
      <c r="B40" s="2473" t="s">
        <v>2568</v>
      </c>
      <c r="C40" s="2474" t="s">
        <v>13</v>
      </c>
      <c r="D40" s="2475">
        <v>1</v>
      </c>
      <c r="E40" s="2476">
        <v>285000</v>
      </c>
      <c r="F40" s="2477">
        <f>+$I$1</f>
        <v>0.75</v>
      </c>
      <c r="G40" s="2651">
        <f>ROUNDUP(E40/F40,-1)</f>
        <v>380000</v>
      </c>
      <c r="H40" s="2478">
        <f>+G40*D40</f>
        <v>380000</v>
      </c>
    </row>
    <row r="41" spans="1:9" x14ac:dyDescent="0.25">
      <c r="A41" s="2480"/>
      <c r="B41" s="2481"/>
      <c r="C41" s="2474"/>
      <c r="D41" s="2475"/>
      <c r="E41" s="2476"/>
      <c r="F41" s="2482"/>
      <c r="G41" s="2483"/>
      <c r="H41" s="2478"/>
    </row>
    <row r="42" spans="1:9" ht="16.2" thickBot="1" x14ac:dyDescent="0.3">
      <c r="A42" s="2579" t="s">
        <v>2779</v>
      </c>
      <c r="B42" s="2580" t="s">
        <v>2569</v>
      </c>
      <c r="C42" s="2519" t="s">
        <v>13</v>
      </c>
      <c r="D42" s="2520">
        <v>1</v>
      </c>
      <c r="E42" s="2521">
        <v>40000</v>
      </c>
      <c r="F42" s="2581">
        <f>+$I$1</f>
        <v>0.75</v>
      </c>
      <c r="G42" s="2582">
        <f>ROUNDUP(E42/F42,-1)</f>
        <v>53340</v>
      </c>
      <c r="H42" s="2524">
        <f>+G42*D42</f>
        <v>53340</v>
      </c>
    </row>
    <row r="43" spans="1:9" x14ac:dyDescent="0.25">
      <c r="A43" s="2583"/>
      <c r="B43" s="2584"/>
      <c r="C43" s="2585"/>
      <c r="D43" s="2586"/>
      <c r="E43" s="2587"/>
      <c r="F43" s="2588"/>
      <c r="G43" s="2589"/>
      <c r="H43" s="2590"/>
    </row>
    <row r="44" spans="1:9" x14ac:dyDescent="0.25">
      <c r="A44" s="2472" t="s">
        <v>2780</v>
      </c>
      <c r="B44" s="2473" t="s">
        <v>2665</v>
      </c>
      <c r="C44" s="2474" t="s">
        <v>13</v>
      </c>
      <c r="D44" s="2475">
        <v>1</v>
      </c>
      <c r="E44" s="2476">
        <v>84000</v>
      </c>
      <c r="F44" s="2477">
        <f>+$I$1</f>
        <v>0.75</v>
      </c>
      <c r="G44" s="2650">
        <f>ROUNDUP(E44/F44,-1)</f>
        <v>112000</v>
      </c>
      <c r="H44" s="2478">
        <f>+G44*D44</f>
        <v>112000</v>
      </c>
    </row>
    <row r="45" spans="1:9" x14ac:dyDescent="0.25">
      <c r="A45" s="2480"/>
      <c r="B45" s="2473"/>
      <c r="C45" s="2474"/>
      <c r="D45" s="2475"/>
      <c r="E45" s="2476"/>
      <c r="F45" s="2482"/>
      <c r="G45" s="2483"/>
      <c r="H45" s="2478"/>
    </row>
    <row r="46" spans="1:9" x14ac:dyDescent="0.25">
      <c r="A46" s="2472" t="s">
        <v>2781</v>
      </c>
      <c r="B46" s="2473" t="s">
        <v>2675</v>
      </c>
      <c r="C46" s="2513" t="s">
        <v>13</v>
      </c>
      <c r="D46" s="2514">
        <v>1</v>
      </c>
      <c r="E46" s="2515">
        <v>1050000</v>
      </c>
      <c r="F46" s="2477">
        <f>+$I$1</f>
        <v>0.75</v>
      </c>
      <c r="G46" s="2651">
        <f>ROUNDUP(E46/F46,-1)</f>
        <v>1400000</v>
      </c>
      <c r="H46" s="2516">
        <f>+G46*D46</f>
        <v>1400000</v>
      </c>
      <c r="I46" s="2517"/>
    </row>
    <row r="47" spans="1:9" x14ac:dyDescent="0.25">
      <c r="A47" s="2472"/>
      <c r="B47" s="2473"/>
      <c r="C47" s="2474"/>
      <c r="D47" s="2475"/>
      <c r="E47" s="2476"/>
      <c r="F47" s="2482"/>
      <c r="G47" s="2483"/>
      <c r="H47" s="2478"/>
    </row>
    <row r="48" spans="1:9" x14ac:dyDescent="0.25">
      <c r="A48" s="2472" t="s">
        <v>2782</v>
      </c>
      <c r="B48" s="2473" t="s">
        <v>2672</v>
      </c>
      <c r="C48" s="2513" t="s">
        <v>0</v>
      </c>
      <c r="D48" s="2514">
        <v>3</v>
      </c>
      <c r="E48" s="2515">
        <v>78000</v>
      </c>
      <c r="F48" s="2477">
        <f>+$I$1</f>
        <v>0.75</v>
      </c>
      <c r="G48" s="2651">
        <f>ROUNDUP(E48/F48,-1)</f>
        <v>104000</v>
      </c>
      <c r="H48" s="2516">
        <f>+G48*D48</f>
        <v>312000</v>
      </c>
    </row>
    <row r="49" spans="1:8" x14ac:dyDescent="0.25">
      <c r="A49" s="2472"/>
      <c r="B49" s="2473"/>
      <c r="C49" s="2474"/>
      <c r="D49" s="2475"/>
      <c r="E49" s="2476"/>
      <c r="F49" s="2482"/>
      <c r="G49" s="2483"/>
      <c r="H49" s="2478"/>
    </row>
    <row r="50" spans="1:8" x14ac:dyDescent="0.25">
      <c r="A50" s="2472" t="s">
        <v>2783</v>
      </c>
      <c r="B50" s="2473" t="s">
        <v>2673</v>
      </c>
      <c r="C50" s="2513" t="s">
        <v>0</v>
      </c>
      <c r="D50" s="2514">
        <v>2</v>
      </c>
      <c r="E50" s="2515">
        <v>65000</v>
      </c>
      <c r="F50" s="2477">
        <f>+$I$1</f>
        <v>0.75</v>
      </c>
      <c r="G50" s="2651">
        <f>ROUNDUP(E50/F50,-1)</f>
        <v>86670</v>
      </c>
      <c r="H50" s="2516">
        <f>+G50*D50</f>
        <v>173340</v>
      </c>
    </row>
    <row r="51" spans="1:8" x14ac:dyDescent="0.25">
      <c r="A51" s="2472"/>
      <c r="B51" s="2473"/>
      <c r="C51" s="2474"/>
      <c r="D51" s="2475"/>
      <c r="E51" s="2476"/>
      <c r="F51" s="2482"/>
      <c r="G51" s="2483"/>
      <c r="H51" s="2478"/>
    </row>
    <row r="52" spans="1:8" x14ac:dyDescent="0.25">
      <c r="A52" s="2472" t="s">
        <v>2784</v>
      </c>
      <c r="B52" s="2473" t="s">
        <v>2674</v>
      </c>
      <c r="C52" s="2513" t="s">
        <v>2515</v>
      </c>
      <c r="D52" s="2514">
        <v>1</v>
      </c>
      <c r="E52" s="2515">
        <v>2200000</v>
      </c>
      <c r="F52" s="2477">
        <f>+$I$1</f>
        <v>0.75</v>
      </c>
      <c r="G52" s="2652">
        <f>ROUNDUP(E52/F52,-1)</f>
        <v>2933340</v>
      </c>
      <c r="H52" s="2516">
        <f>+G52*D52</f>
        <v>2933340</v>
      </c>
    </row>
    <row r="53" spans="1:8" x14ac:dyDescent="0.25">
      <c r="A53" s="2480"/>
      <c r="B53" s="2481"/>
      <c r="C53" s="2474"/>
      <c r="D53" s="2475"/>
      <c r="E53" s="2476"/>
      <c r="F53" s="2482"/>
      <c r="G53" s="2483"/>
      <c r="H53" s="2478"/>
    </row>
    <row r="54" spans="1:8" ht="16.2" thickBot="1" x14ac:dyDescent="0.3">
      <c r="A54" s="2480"/>
      <c r="B54" s="2518"/>
      <c r="C54" s="2519"/>
      <c r="D54" s="2520"/>
      <c r="E54" s="2521"/>
      <c r="F54" s="2522"/>
      <c r="G54" s="2523"/>
      <c r="H54" s="2524"/>
    </row>
    <row r="55" spans="1:8" ht="14.4" customHeight="1" thickBot="1" x14ac:dyDescent="0.3">
      <c r="A55" s="2591"/>
      <c r="B55" s="2713" t="s">
        <v>1143</v>
      </c>
      <c r="C55" s="2714"/>
      <c r="D55" s="2714"/>
      <c r="E55" s="2714"/>
      <c r="F55" s="2714"/>
      <c r="G55" s="2715"/>
      <c r="H55" s="2525">
        <f>SUM(H5:H54)</f>
        <v>8561263.8000000007</v>
      </c>
    </row>
  </sheetData>
  <mergeCells count="1">
    <mergeCell ref="B55:G55"/>
  </mergeCells>
  <pageMargins left="0.51181102362204722" right="0.27559055118110237" top="0.55000000000000004" bottom="0.23622047244094491" header="0.35433070866141736" footer="0.27559055118110237"/>
  <pageSetup orientation="portrait" r:id="rId1"/>
  <headerFooter alignWithMargins="0">
    <oddFooter>&amp;C&amp;P</oddFooter>
  </headerFooter>
  <rowBreaks count="1" manualBreakCount="1">
    <brk id="42" max="7"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58056-BA8A-4AC1-A66C-CFCB3DE5CF19}">
  <sheetPr>
    <tabColor rgb="FF002060"/>
  </sheetPr>
  <dimension ref="A1:I16"/>
  <sheetViews>
    <sheetView view="pageBreakPreview" zoomScale="90" zoomScaleNormal="85" zoomScaleSheetLayoutView="90" workbookViewId="0">
      <selection activeCell="E1" sqref="E1:F1048576"/>
    </sheetView>
  </sheetViews>
  <sheetFormatPr defaultColWidth="9.21875" defaultRowHeight="15.6" x14ac:dyDescent="0.25"/>
  <cols>
    <col min="1" max="1" width="7.21875" style="2526" customWidth="1"/>
    <col min="2" max="2" width="47.44140625" style="2527" customWidth="1"/>
    <col min="3" max="3" width="6.44140625" style="2528" customWidth="1"/>
    <col min="4" max="4" width="8.77734375" style="2528" bestFit="1" customWidth="1"/>
    <col min="5" max="5" width="14.44140625" style="2529" hidden="1" customWidth="1"/>
    <col min="6" max="6" width="12.33203125" style="2529" hidden="1" customWidth="1"/>
    <col min="7" max="7" width="14.44140625" style="2530" customWidth="1"/>
    <col min="8" max="8" width="15.109375" style="2531" bestFit="1" customWidth="1"/>
    <col min="9" max="9" width="9.33203125" style="2479" bestFit="1" customWidth="1"/>
    <col min="10" max="10" width="12.44140625" style="2479" bestFit="1" customWidth="1"/>
    <col min="11" max="11" width="10" style="2479" bestFit="1" customWidth="1"/>
    <col min="12" max="12" width="11" style="2479" bestFit="1" customWidth="1"/>
    <col min="13" max="14" width="12.88671875" style="2479" bestFit="1" customWidth="1"/>
    <col min="15" max="15" width="11.88671875" style="2479" bestFit="1" customWidth="1"/>
    <col min="16" max="16" width="9.21875" style="2479"/>
    <col min="17" max="17" width="10.44140625" style="2479" bestFit="1" customWidth="1"/>
    <col min="18" max="16384" width="9.21875" style="2479"/>
  </cols>
  <sheetData>
    <row r="1" spans="1:9" s="2492" customFormat="1" ht="16.2" thickBot="1" x14ac:dyDescent="0.35">
      <c r="A1" s="2484" t="s">
        <v>0</v>
      </c>
      <c r="B1" s="2485" t="s">
        <v>1</v>
      </c>
      <c r="C1" s="2486" t="s">
        <v>3</v>
      </c>
      <c r="D1" s="2486" t="s">
        <v>2</v>
      </c>
      <c r="E1" s="2488" t="s">
        <v>2326</v>
      </c>
      <c r="F1" s="2489" t="s">
        <v>2327</v>
      </c>
      <c r="G1" s="2490" t="s">
        <v>4</v>
      </c>
      <c r="H1" s="2491" t="s">
        <v>5</v>
      </c>
      <c r="I1" s="2492">
        <v>0.85</v>
      </c>
    </row>
    <row r="2" spans="1:9" s="2501" customFormat="1" x14ac:dyDescent="0.3">
      <c r="A2" s="2493"/>
      <c r="B2" s="2494"/>
      <c r="C2" s="2495"/>
      <c r="D2" s="2496"/>
      <c r="E2" s="2497"/>
      <c r="F2" s="2498"/>
      <c r="G2" s="2499"/>
      <c r="H2" s="2500"/>
    </row>
    <row r="3" spans="1:9" s="2510" customFormat="1" x14ac:dyDescent="0.25">
      <c r="A3" s="2472">
        <v>1</v>
      </c>
      <c r="B3" s="2473" t="s">
        <v>2696</v>
      </c>
      <c r="C3" s="2504"/>
      <c r="D3" s="2505"/>
      <c r="E3" s="2506"/>
      <c r="F3" s="2507"/>
      <c r="G3" s="2508"/>
      <c r="H3" s="2509"/>
    </row>
    <row r="4" spans="1:9" x14ac:dyDescent="0.25">
      <c r="A4" s="2480"/>
      <c r="B4" s="2481"/>
      <c r="C4" s="2474"/>
      <c r="D4" s="2475"/>
      <c r="E4" s="2476"/>
      <c r="F4" s="2477"/>
      <c r="G4" s="2651"/>
      <c r="H4" s="2478"/>
    </row>
    <row r="5" spans="1:9" s="286" customFormat="1" x14ac:dyDescent="0.25">
      <c r="A5" s="1953"/>
      <c r="B5" s="2421" t="s">
        <v>2697</v>
      </c>
      <c r="C5" s="1954"/>
      <c r="D5" s="1955"/>
      <c r="E5" s="2279"/>
      <c r="F5" s="1892"/>
      <c r="G5" s="2430"/>
      <c r="H5" s="1596"/>
    </row>
    <row r="6" spans="1:9" s="286" customFormat="1" ht="61.8" customHeight="1" x14ac:dyDescent="0.25">
      <c r="A6" s="2792">
        <v>1.1000000000000001</v>
      </c>
      <c r="B6" s="829" t="s">
        <v>2698</v>
      </c>
      <c r="C6" s="2793" t="s">
        <v>56</v>
      </c>
      <c r="D6" s="2793">
        <v>12</v>
      </c>
      <c r="E6" s="2794">
        <f>12000*3.28</f>
        <v>39360</v>
      </c>
      <c r="F6" s="1892">
        <f t="shared" ref="F6" si="0">+$I$1</f>
        <v>0.85</v>
      </c>
      <c r="G6" s="2430">
        <f>ROUNDUP(E6/F6,-1)</f>
        <v>46310</v>
      </c>
      <c r="H6" s="1596">
        <f>+G6*D6</f>
        <v>555720</v>
      </c>
    </row>
    <row r="7" spans="1:9" s="286" customFormat="1" x14ac:dyDescent="0.25">
      <c r="A7" s="2798"/>
      <c r="B7" s="2799"/>
      <c r="C7" s="2793"/>
      <c r="D7" s="2800"/>
      <c r="E7" s="2794"/>
      <c r="F7" s="2795"/>
      <c r="G7" s="2796"/>
      <c r="H7" s="2797"/>
    </row>
    <row r="8" spans="1:9" s="286" customFormat="1" x14ac:dyDescent="0.25">
      <c r="A8" s="2801"/>
      <c r="B8" s="2421" t="s">
        <v>2689</v>
      </c>
      <c r="C8" s="1954"/>
      <c r="D8" s="1955"/>
      <c r="E8" s="2279"/>
      <c r="F8" s="1892"/>
      <c r="G8" s="2430"/>
      <c r="H8" s="1596"/>
    </row>
    <row r="9" spans="1:9" s="286" customFormat="1" x14ac:dyDescent="0.25">
      <c r="A9" s="2801">
        <v>1.2</v>
      </c>
      <c r="B9" s="1959" t="s">
        <v>2690</v>
      </c>
      <c r="C9" s="1955" t="s">
        <v>1292</v>
      </c>
      <c r="D9" s="1954">
        <f>4.7*2.5</f>
        <v>11.75</v>
      </c>
      <c r="E9" s="2279">
        <f>3200*10.76</f>
        <v>34432</v>
      </c>
      <c r="F9" s="1892">
        <f t="shared" ref="F9" si="1">+$I$1</f>
        <v>0.85</v>
      </c>
      <c r="G9" s="2430">
        <f>ROUNDUP(E9/F9,-1)</f>
        <v>40510</v>
      </c>
      <c r="H9" s="1596">
        <f>+G9*D9</f>
        <v>475992.5</v>
      </c>
    </row>
    <row r="10" spans="1:9" s="286" customFormat="1" x14ac:dyDescent="0.25">
      <c r="A10" s="2792"/>
      <c r="B10" s="826"/>
      <c r="D10" s="2800"/>
      <c r="E10" s="2794"/>
      <c r="F10" s="2795"/>
      <c r="G10" s="2796"/>
      <c r="H10" s="2797"/>
    </row>
    <row r="11" spans="1:9" s="286" customFormat="1" ht="31.2" x14ac:dyDescent="0.25">
      <c r="A11" s="2792">
        <v>1.3</v>
      </c>
      <c r="B11" s="826" t="s">
        <v>2699</v>
      </c>
      <c r="C11" s="2793" t="s">
        <v>13</v>
      </c>
      <c r="D11" s="2800">
        <v>1</v>
      </c>
      <c r="E11" s="2794"/>
      <c r="F11" s="2802"/>
      <c r="G11" s="2803"/>
      <c r="H11" s="2797">
        <v>75000</v>
      </c>
    </row>
    <row r="12" spans="1:9" x14ac:dyDescent="0.25">
      <c r="A12" s="2472"/>
      <c r="B12" s="2473"/>
      <c r="C12" s="2474"/>
      <c r="D12" s="2475"/>
      <c r="E12" s="2476"/>
      <c r="F12" s="2482"/>
      <c r="G12" s="2483"/>
      <c r="H12" s="2478"/>
    </row>
    <row r="13" spans="1:9" x14ac:dyDescent="0.25">
      <c r="A13" s="2472"/>
      <c r="B13" s="2473" t="s">
        <v>2367</v>
      </c>
      <c r="C13" s="2513"/>
      <c r="D13" s="2514"/>
      <c r="E13" s="2515"/>
      <c r="F13" s="2477"/>
      <c r="G13" s="2652"/>
      <c r="H13" s="2516"/>
    </row>
    <row r="14" spans="1:9" ht="124.8" x14ac:dyDescent="0.25">
      <c r="A14" s="2480">
        <v>1.4</v>
      </c>
      <c r="B14" s="2481" t="s">
        <v>2700</v>
      </c>
      <c r="C14" s="2474" t="s">
        <v>0</v>
      </c>
      <c r="D14" s="2475">
        <v>2</v>
      </c>
      <c r="E14" s="2476">
        <v>38600</v>
      </c>
      <c r="F14" s="1892">
        <f t="shared" ref="F14" si="2">+$I$1</f>
        <v>0.85</v>
      </c>
      <c r="G14" s="2430">
        <f>ROUNDUP(E14/F14,-1)</f>
        <v>45420</v>
      </c>
      <c r="H14" s="1596">
        <f>+G14*D14</f>
        <v>90840</v>
      </c>
    </row>
    <row r="15" spans="1:9" ht="16.2" thickBot="1" x14ac:dyDescent="0.3">
      <c r="A15" s="2480"/>
      <c r="B15" s="2518"/>
      <c r="C15" s="2519"/>
      <c r="D15" s="2520"/>
      <c r="E15" s="2521"/>
      <c r="F15" s="2522"/>
      <c r="G15" s="2523"/>
      <c r="H15" s="2524"/>
    </row>
    <row r="16" spans="1:9" ht="14.4" customHeight="1" thickBot="1" x14ac:dyDescent="0.3">
      <c r="A16" s="2591"/>
      <c r="B16" s="2713" t="s">
        <v>1143</v>
      </c>
      <c r="C16" s="2714"/>
      <c r="D16" s="2714"/>
      <c r="E16" s="2714"/>
      <c r="F16" s="2714"/>
      <c r="G16" s="2715"/>
      <c r="H16" s="2525">
        <f>SUM(H4:H15)</f>
        <v>1197552.5</v>
      </c>
    </row>
  </sheetData>
  <mergeCells count="1">
    <mergeCell ref="B16:G16"/>
  </mergeCells>
  <pageMargins left="0.51181102362204722" right="0.27559055118110237" top="0.55000000000000004" bottom="0.23622047244094491" header="0.35433070866141736" footer="0.27559055118110237"/>
  <pageSetup orientation="portrait" r:id="rId1"/>
  <headerFooter alignWithMargins="0">
    <oddFooter>&amp;C&amp;P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4ED75-28FC-44D0-B9E0-E74EB6504A45}">
  <dimension ref="A2:AC1977"/>
  <sheetViews>
    <sheetView topLeftCell="A644" zoomScaleNormal="100" workbookViewId="0">
      <selection activeCell="D654" sqref="D654"/>
    </sheetView>
  </sheetViews>
  <sheetFormatPr defaultColWidth="9.109375" defaultRowHeight="13.2" x14ac:dyDescent="0.25"/>
  <cols>
    <col min="1" max="1" width="9.109375" style="1772"/>
    <col min="2" max="2" width="47.109375" style="1772" customWidth="1"/>
    <col min="3" max="3" width="9.109375" style="1772"/>
    <col min="4" max="4" width="11.44140625" style="1772" bestFit="1" customWidth="1"/>
    <col min="5" max="5" width="12.88671875" style="1772" customWidth="1"/>
    <col min="6" max="6" width="12.33203125" style="1772" customWidth="1"/>
    <col min="7" max="7" width="14.6640625" style="1772" customWidth="1"/>
    <col min="8" max="8" width="11.44140625" style="2014" bestFit="1" customWidth="1"/>
    <col min="9" max="9" width="11.6640625" style="2014" bestFit="1" customWidth="1"/>
    <col min="10" max="10" width="10.5546875" style="2014" customWidth="1"/>
    <col min="11" max="11" width="11.44140625" style="1809" bestFit="1" customWidth="1"/>
    <col min="12" max="13" width="9.109375" style="1809"/>
    <col min="14" max="15" width="10.88671875" style="1809" customWidth="1"/>
    <col min="16" max="16384" width="9.109375" style="1772"/>
  </cols>
  <sheetData>
    <row r="2" spans="1:7" ht="14.4" customHeight="1" x14ac:dyDescent="0.25">
      <c r="A2" s="2733" t="s">
        <v>81</v>
      </c>
      <c r="B2" s="2733"/>
      <c r="C2" s="2733"/>
      <c r="D2" s="2733"/>
      <c r="E2" s="2733"/>
      <c r="F2" s="2733"/>
      <c r="G2" s="2733"/>
    </row>
    <row r="3" spans="1:7" ht="13.8" thickBot="1" x14ac:dyDescent="0.3"/>
    <row r="4" spans="1:7" ht="13.8" x14ac:dyDescent="0.25">
      <c r="A4" s="2717" t="s">
        <v>2092</v>
      </c>
      <c r="B4" s="2718"/>
      <c r="C4" s="2718"/>
      <c r="D4" s="2718"/>
      <c r="E4" s="2718"/>
      <c r="F4" s="2718"/>
      <c r="G4" s="2719"/>
    </row>
    <row r="5" spans="1:7" ht="14.4" thickBot="1" x14ac:dyDescent="0.3">
      <c r="A5" s="2720" t="s">
        <v>2093</v>
      </c>
      <c r="B5" s="2721"/>
      <c r="C5" s="2721"/>
      <c r="D5" s="2721"/>
      <c r="E5" s="2721"/>
      <c r="F5" s="2721"/>
      <c r="G5" s="2722"/>
    </row>
    <row r="6" spans="1:7" ht="14.4" thickBot="1" x14ac:dyDescent="0.3">
      <c r="A6" s="1773"/>
      <c r="B6" s="1774" t="s">
        <v>2094</v>
      </c>
      <c r="C6" s="1774" t="s">
        <v>2095</v>
      </c>
      <c r="D6" s="1774" t="s">
        <v>2</v>
      </c>
      <c r="E6" s="1774" t="s">
        <v>2096</v>
      </c>
      <c r="F6" s="1774" t="s">
        <v>5</v>
      </c>
      <c r="G6" s="1774" t="s">
        <v>2097</v>
      </c>
    </row>
    <row r="7" spans="1:7" ht="13.8" x14ac:dyDescent="0.25">
      <c r="A7" s="1775"/>
      <c r="B7" s="1775"/>
      <c r="C7" s="1776"/>
      <c r="D7" s="1777"/>
      <c r="E7" s="1777"/>
      <c r="F7" s="1777"/>
      <c r="G7" s="1777"/>
    </row>
    <row r="8" spans="1:7" ht="13.8" x14ac:dyDescent="0.25">
      <c r="A8" s="1775"/>
      <c r="B8" s="1778" t="s">
        <v>2098</v>
      </c>
      <c r="C8" s="1776"/>
      <c r="D8" s="1777"/>
      <c r="E8" s="1777"/>
      <c r="F8" s="1777">
        <f t="shared" ref="F8:F9" si="0">D8*E8</f>
        <v>0</v>
      </c>
      <c r="G8" s="1777"/>
    </row>
    <row r="9" spans="1:7" ht="13.8" x14ac:dyDescent="0.25">
      <c r="A9" s="1775"/>
      <c r="B9" s="1775" t="s">
        <v>2099</v>
      </c>
      <c r="C9" s="1777" t="s">
        <v>748</v>
      </c>
      <c r="D9" s="1777">
        <v>10</v>
      </c>
      <c r="E9" s="1777">
        <v>2500</v>
      </c>
      <c r="F9" s="1777">
        <f t="shared" si="0"/>
        <v>25000</v>
      </c>
      <c r="G9" s="1777"/>
    </row>
    <row r="10" spans="1:7" ht="13.8" x14ac:dyDescent="0.25">
      <c r="A10" s="1775"/>
      <c r="B10" s="1775"/>
      <c r="C10" s="1776"/>
      <c r="D10" s="1777"/>
      <c r="E10" s="1777"/>
      <c r="F10" s="1777"/>
      <c r="G10" s="1777"/>
    </row>
    <row r="11" spans="1:7" ht="13.8" x14ac:dyDescent="0.25">
      <c r="A11" s="1779"/>
      <c r="B11" s="2723" t="s">
        <v>2100</v>
      </c>
      <c r="C11" s="2723"/>
      <c r="D11" s="2723"/>
      <c r="E11" s="2723"/>
      <c r="F11" s="1780">
        <f t="shared" ref="F11" si="1">D11*E11</f>
        <v>0</v>
      </c>
      <c r="G11" s="1781">
        <f>SUM(F9:F11)</f>
        <v>25000</v>
      </c>
    </row>
    <row r="12" spans="1:7" ht="13.8" x14ac:dyDescent="0.25">
      <c r="A12" s="1775"/>
      <c r="B12" s="1775"/>
      <c r="C12" s="1776"/>
      <c r="D12" s="1777"/>
      <c r="E12" s="1777"/>
      <c r="F12" s="1777"/>
      <c r="G12" s="1777"/>
    </row>
    <row r="13" spans="1:7" ht="13.8" x14ac:dyDescent="0.25">
      <c r="A13" s="1775"/>
      <c r="B13" s="1861" t="s">
        <v>2332</v>
      </c>
      <c r="C13" s="1782" t="s">
        <v>2333</v>
      </c>
      <c r="D13" s="1782">
        <v>0.2</v>
      </c>
      <c r="E13" s="1782">
        <v>15000</v>
      </c>
      <c r="F13" s="1777">
        <f t="shared" ref="F13" si="2">D13*E13</f>
        <v>3000</v>
      </c>
      <c r="G13" s="1782">
        <f>+F13</f>
        <v>3000</v>
      </c>
    </row>
    <row r="14" spans="1:7" ht="13.8" x14ac:dyDescent="0.25">
      <c r="A14" s="1775"/>
      <c r="B14" s="1782"/>
      <c r="C14" s="1782"/>
      <c r="D14" s="1782"/>
      <c r="E14" s="1782"/>
      <c r="F14" s="1777"/>
      <c r="G14" s="1782"/>
    </row>
    <row r="15" spans="1:7" ht="13.8" x14ac:dyDescent="0.25">
      <c r="A15" s="2716" t="s">
        <v>2101</v>
      </c>
      <c r="B15" s="2716"/>
      <c r="C15" s="2716"/>
      <c r="D15" s="2716"/>
      <c r="E15" s="2716"/>
      <c r="F15" s="2716"/>
      <c r="G15" s="1783">
        <f>SUM(G11:G14)</f>
        <v>28000</v>
      </c>
    </row>
    <row r="16" spans="1:7" ht="13.8" x14ac:dyDescent="0.25">
      <c r="A16" s="2716" t="s">
        <v>2102</v>
      </c>
      <c r="B16" s="2716"/>
      <c r="C16" s="2716"/>
      <c r="D16" s="2716"/>
      <c r="E16" s="2716"/>
      <c r="F16" s="2716"/>
      <c r="G16" s="1783">
        <f>G15/10</f>
        <v>2800</v>
      </c>
    </row>
    <row r="17" spans="1:7" ht="14.4" thickBot="1" x14ac:dyDescent="0.3">
      <c r="A17" s="2716" t="s">
        <v>2103</v>
      </c>
      <c r="B17" s="2716"/>
      <c r="C17" s="2716"/>
      <c r="D17" s="2716"/>
      <c r="E17" s="2716"/>
      <c r="F17" s="2716"/>
      <c r="G17" s="1784">
        <f>G16/9.29</f>
        <v>301.39935414424116</v>
      </c>
    </row>
    <row r="18" spans="1:7" ht="13.8" x14ac:dyDescent="0.25">
      <c r="A18" s="1785"/>
      <c r="B18" s="1785"/>
      <c r="C18" s="1785"/>
      <c r="D18" s="1785"/>
      <c r="E18" s="1785"/>
      <c r="F18" s="1785"/>
      <c r="G18" s="1785"/>
    </row>
    <row r="19" spans="1:7" ht="13.8" thickBot="1" x14ac:dyDescent="0.3"/>
    <row r="20" spans="1:7" ht="13.8" x14ac:dyDescent="0.25">
      <c r="A20" s="2717" t="s">
        <v>2104</v>
      </c>
      <c r="B20" s="2718"/>
      <c r="C20" s="2718"/>
      <c r="D20" s="2718"/>
      <c r="E20" s="2718"/>
      <c r="F20" s="2718"/>
      <c r="G20" s="2719"/>
    </row>
    <row r="21" spans="1:7" ht="14.4" thickBot="1" x14ac:dyDescent="0.3">
      <c r="A21" s="2720" t="s">
        <v>2105</v>
      </c>
      <c r="B21" s="2721"/>
      <c r="C21" s="2721"/>
      <c r="D21" s="2721"/>
      <c r="E21" s="2721"/>
      <c r="F21" s="2721"/>
      <c r="G21" s="2722"/>
    </row>
    <row r="22" spans="1:7" ht="14.4" thickBot="1" x14ac:dyDescent="0.3">
      <c r="A22" s="1773"/>
      <c r="B22" s="1774" t="s">
        <v>2094</v>
      </c>
      <c r="C22" s="1774" t="s">
        <v>2095</v>
      </c>
      <c r="D22" s="1774" t="s">
        <v>2</v>
      </c>
      <c r="E22" s="1774" t="s">
        <v>2096</v>
      </c>
      <c r="F22" s="1774" t="s">
        <v>5</v>
      </c>
      <c r="G22" s="1774" t="s">
        <v>2097</v>
      </c>
    </row>
    <row r="23" spans="1:7" ht="13.8" x14ac:dyDescent="0.25">
      <c r="A23" s="1775"/>
      <c r="B23" s="1775"/>
      <c r="C23" s="1776"/>
      <c r="D23" s="1777"/>
      <c r="E23" s="1777"/>
      <c r="F23" s="1777"/>
      <c r="G23" s="1777"/>
    </row>
    <row r="24" spans="1:7" ht="13.8" x14ac:dyDescent="0.25">
      <c r="A24" s="1775"/>
      <c r="B24" s="1778" t="s">
        <v>2098</v>
      </c>
      <c r="C24" s="1776"/>
      <c r="D24" s="1777"/>
      <c r="E24" s="1777"/>
      <c r="F24" s="1777">
        <f t="shared" ref="F24:F25" si="3">D24*E24</f>
        <v>0</v>
      </c>
      <c r="G24" s="1777"/>
    </row>
    <row r="25" spans="1:7" ht="13.8" x14ac:dyDescent="0.25">
      <c r="A25" s="1786"/>
      <c r="B25" s="1786" t="s">
        <v>2106</v>
      </c>
      <c r="C25" s="1761" t="s">
        <v>131</v>
      </c>
      <c r="D25" s="1761">
        <v>1</v>
      </c>
      <c r="E25" s="1761">
        <v>6000</v>
      </c>
      <c r="F25" s="1761">
        <f t="shared" si="3"/>
        <v>6000</v>
      </c>
      <c r="G25" s="1761"/>
    </row>
    <row r="26" spans="1:7" ht="13.8" x14ac:dyDescent="0.25">
      <c r="A26" s="1775"/>
      <c r="B26" s="1775"/>
      <c r="C26" s="1776"/>
      <c r="D26" s="1777"/>
      <c r="E26" s="1777"/>
      <c r="F26" s="1777"/>
      <c r="G26" s="1777"/>
    </row>
    <row r="27" spans="1:7" ht="13.8" x14ac:dyDescent="0.25">
      <c r="A27" s="1779"/>
      <c r="B27" s="2723" t="s">
        <v>2100</v>
      </c>
      <c r="C27" s="2723"/>
      <c r="D27" s="2723"/>
      <c r="E27" s="2723"/>
      <c r="F27" s="1780">
        <f t="shared" ref="F27" si="4">D27*E27</f>
        <v>0</v>
      </c>
      <c r="G27" s="1781">
        <f>SUM(F25:F27)</f>
        <v>6000</v>
      </c>
    </row>
    <row r="28" spans="1:7" ht="13.8" x14ac:dyDescent="0.25">
      <c r="A28" s="1775"/>
      <c r="B28" s="1775"/>
      <c r="C28" s="1776"/>
      <c r="D28" s="1777"/>
      <c r="E28" s="1777"/>
      <c r="F28" s="1777"/>
      <c r="G28" s="1777"/>
    </row>
    <row r="29" spans="1:7" ht="13.8" x14ac:dyDescent="0.25">
      <c r="A29" s="1775"/>
      <c r="B29" s="1782"/>
      <c r="C29" s="1782"/>
      <c r="D29" s="1782"/>
      <c r="E29" s="1782"/>
      <c r="F29" s="1777"/>
      <c r="G29" s="1782"/>
    </row>
    <row r="30" spans="1:7" ht="13.8" x14ac:dyDescent="0.25">
      <c r="A30" s="1775"/>
      <c r="B30" s="1782"/>
      <c r="C30" s="1782"/>
      <c r="D30" s="1782"/>
      <c r="E30" s="1782"/>
      <c r="F30" s="1777"/>
      <c r="G30" s="1782"/>
    </row>
    <row r="31" spans="1:7" ht="13.8" x14ac:dyDescent="0.25">
      <c r="A31" s="2716" t="s">
        <v>2107</v>
      </c>
      <c r="B31" s="2716"/>
      <c r="C31" s="2716"/>
      <c r="D31" s="2716"/>
      <c r="E31" s="2716"/>
      <c r="F31" s="2716"/>
      <c r="G31" s="1783">
        <f>G27</f>
        <v>6000</v>
      </c>
    </row>
    <row r="32" spans="1:7" ht="16.2" x14ac:dyDescent="0.25">
      <c r="A32" s="2716" t="s">
        <v>2108</v>
      </c>
      <c r="B32" s="2716"/>
      <c r="C32" s="2716"/>
      <c r="D32" s="2716"/>
      <c r="E32" s="2716"/>
      <c r="F32" s="2716"/>
      <c r="G32" s="1783">
        <f>G31/2.83</f>
        <v>2120.1413427561838</v>
      </c>
    </row>
    <row r="34" spans="1:7" ht="13.8" thickBot="1" x14ac:dyDescent="0.3"/>
    <row r="35" spans="1:7" ht="13.8" x14ac:dyDescent="0.25">
      <c r="A35" s="2717" t="s">
        <v>2109</v>
      </c>
      <c r="B35" s="2718"/>
      <c r="C35" s="2718"/>
      <c r="D35" s="2718"/>
      <c r="E35" s="2718"/>
      <c r="F35" s="2718"/>
      <c r="G35" s="2719"/>
    </row>
    <row r="36" spans="1:7" ht="14.4" thickBot="1" x14ac:dyDescent="0.3">
      <c r="A36" s="2720" t="s">
        <v>2105</v>
      </c>
      <c r="B36" s="2721"/>
      <c r="C36" s="2721"/>
      <c r="D36" s="2721"/>
      <c r="E36" s="2721"/>
      <c r="F36" s="2721"/>
      <c r="G36" s="2722"/>
    </row>
    <row r="37" spans="1:7" ht="14.4" thickBot="1" x14ac:dyDescent="0.3">
      <c r="A37" s="1773"/>
      <c r="B37" s="1774" t="s">
        <v>2094</v>
      </c>
      <c r="C37" s="1774" t="s">
        <v>2095</v>
      </c>
      <c r="D37" s="1774" t="s">
        <v>2</v>
      </c>
      <c r="E37" s="1774" t="s">
        <v>2096</v>
      </c>
      <c r="F37" s="1774" t="s">
        <v>5</v>
      </c>
      <c r="G37" s="1774" t="s">
        <v>2097</v>
      </c>
    </row>
    <row r="38" spans="1:7" ht="15.6" x14ac:dyDescent="0.4">
      <c r="A38" s="1775"/>
      <c r="B38" s="1787" t="s">
        <v>2110</v>
      </c>
      <c r="C38" s="1776"/>
      <c r="D38" s="1777"/>
      <c r="E38" s="1777"/>
      <c r="F38" s="1777"/>
      <c r="G38" s="1777"/>
    </row>
    <row r="39" spans="1:7" ht="13.8" x14ac:dyDescent="0.25">
      <c r="A39" s="1775"/>
      <c r="B39" s="1775"/>
      <c r="C39" s="1776"/>
      <c r="D39" s="1777"/>
      <c r="E39" s="1777"/>
      <c r="F39" s="1777"/>
      <c r="G39" s="1777"/>
    </row>
    <row r="40" spans="1:7" ht="13.8" x14ac:dyDescent="0.25">
      <c r="A40" s="1775"/>
      <c r="B40" s="1778" t="s">
        <v>2111</v>
      </c>
      <c r="C40" s="1776"/>
      <c r="D40" s="1777"/>
      <c r="E40" s="1777"/>
      <c r="F40" s="1777"/>
      <c r="G40" s="1777"/>
    </row>
    <row r="41" spans="1:7" ht="13.8" x14ac:dyDescent="0.25">
      <c r="A41" s="1788"/>
      <c r="B41" s="1788"/>
      <c r="C41" s="1789"/>
      <c r="D41" s="1789"/>
      <c r="E41" s="1789"/>
      <c r="F41" s="1789">
        <f>D41*E41</f>
        <v>0</v>
      </c>
      <c r="G41" s="1789"/>
    </row>
    <row r="42" spans="1:7" ht="13.8" x14ac:dyDescent="0.25">
      <c r="A42" s="1775"/>
      <c r="B42" s="1775"/>
      <c r="C42" s="1776"/>
      <c r="D42" s="1777"/>
      <c r="E42" s="1777"/>
      <c r="F42" s="1777">
        <f t="shared" ref="F42:F45" si="5">D42*E42</f>
        <v>0</v>
      </c>
      <c r="G42" s="1777"/>
    </row>
    <row r="43" spans="1:7" ht="13.8" x14ac:dyDescent="0.25">
      <c r="A43" s="1779"/>
      <c r="B43" s="2723" t="s">
        <v>2112</v>
      </c>
      <c r="C43" s="2723"/>
      <c r="D43" s="2723"/>
      <c r="E43" s="2723"/>
      <c r="F43" s="1780">
        <f t="shared" si="5"/>
        <v>0</v>
      </c>
      <c r="G43" s="1781">
        <f>SUM(F40:F43)</f>
        <v>0</v>
      </c>
    </row>
    <row r="44" spans="1:7" ht="13.8" x14ac:dyDescent="0.25">
      <c r="A44" s="1775"/>
      <c r="B44" s="1778" t="s">
        <v>2098</v>
      </c>
      <c r="C44" s="1776"/>
      <c r="D44" s="1777"/>
      <c r="E44" s="1777"/>
      <c r="F44" s="1777"/>
      <c r="G44" s="1777"/>
    </row>
    <row r="45" spans="1:7" ht="13.8" x14ac:dyDescent="0.25">
      <c r="A45" s="1775"/>
      <c r="B45" s="1775" t="s">
        <v>2113</v>
      </c>
      <c r="C45" s="1777" t="s">
        <v>2114</v>
      </c>
      <c r="D45" s="1777">
        <v>4</v>
      </c>
      <c r="E45" s="1777">
        <v>2500</v>
      </c>
      <c r="F45" s="1777">
        <f t="shared" si="5"/>
        <v>10000</v>
      </c>
      <c r="G45" s="1777"/>
    </row>
    <row r="46" spans="1:7" ht="13.8" x14ac:dyDescent="0.25">
      <c r="A46" s="1775"/>
      <c r="B46" s="1775"/>
      <c r="C46" s="1776"/>
      <c r="D46" s="1777"/>
      <c r="E46" s="1777"/>
      <c r="F46" s="1777"/>
      <c r="G46" s="1777"/>
    </row>
    <row r="47" spans="1:7" ht="13.8" x14ac:dyDescent="0.25">
      <c r="A47" s="1779"/>
      <c r="B47" s="2723" t="s">
        <v>2100</v>
      </c>
      <c r="C47" s="2723"/>
      <c r="D47" s="2723"/>
      <c r="E47" s="2723"/>
      <c r="F47" s="1780">
        <f t="shared" ref="F47" si="6">D47*E47</f>
        <v>0</v>
      </c>
      <c r="G47" s="1781">
        <f>SUM(F45:F47)</f>
        <v>10000</v>
      </c>
    </row>
    <row r="48" spans="1:7" ht="13.8" x14ac:dyDescent="0.25">
      <c r="A48" s="1775"/>
      <c r="B48" s="1778" t="s">
        <v>2115</v>
      </c>
      <c r="C48" s="1776"/>
      <c r="D48" s="1777"/>
      <c r="E48" s="1777"/>
      <c r="F48" s="1777"/>
      <c r="G48" s="1777"/>
    </row>
    <row r="49" spans="1:7" ht="13.8" x14ac:dyDescent="0.25">
      <c r="A49" s="1775"/>
      <c r="B49" s="1775"/>
      <c r="C49" s="1776"/>
      <c r="D49" s="1777"/>
      <c r="E49" s="1777"/>
      <c r="F49" s="1777"/>
      <c r="G49" s="1777"/>
    </row>
    <row r="50" spans="1:7" ht="13.8" x14ac:dyDescent="0.25">
      <c r="A50" s="1775"/>
      <c r="B50" s="1775" t="s">
        <v>2116</v>
      </c>
      <c r="C50" s="1777" t="s">
        <v>2117</v>
      </c>
      <c r="D50" s="1777">
        <v>24</v>
      </c>
      <c r="E50" s="1777">
        <v>625</v>
      </c>
      <c r="F50" s="1777">
        <f>D50*E50</f>
        <v>15000</v>
      </c>
      <c r="G50" s="1777"/>
    </row>
    <row r="51" spans="1:7" ht="13.8" x14ac:dyDescent="0.25">
      <c r="A51" s="1775"/>
      <c r="B51" s="1775"/>
      <c r="C51" s="1776"/>
      <c r="D51" s="1777"/>
      <c r="E51" s="1777"/>
      <c r="F51" s="1777"/>
      <c r="G51" s="1777"/>
    </row>
    <row r="52" spans="1:7" ht="13.8" x14ac:dyDescent="0.25">
      <c r="A52" s="1779"/>
      <c r="B52" s="2723" t="s">
        <v>2118</v>
      </c>
      <c r="C52" s="2723"/>
      <c r="D52" s="2723"/>
      <c r="E52" s="2723"/>
      <c r="F52" s="1780">
        <f t="shared" ref="F52" si="7">D52*E52</f>
        <v>0</v>
      </c>
      <c r="G52" s="1781">
        <f>SUM(F49:F52)</f>
        <v>15000</v>
      </c>
    </row>
    <row r="53" spans="1:7" ht="13.8" x14ac:dyDescent="0.25">
      <c r="A53" s="1775"/>
      <c r="B53" s="1782"/>
      <c r="C53" s="1782"/>
      <c r="D53" s="1782"/>
      <c r="E53" s="1782"/>
      <c r="F53" s="1777"/>
      <c r="G53" s="1782"/>
    </row>
    <row r="54" spans="1:7" ht="13.8" x14ac:dyDescent="0.25">
      <c r="A54" s="1775"/>
      <c r="B54" s="1782"/>
      <c r="C54" s="1782"/>
      <c r="D54" s="1782"/>
      <c r="E54" s="1782"/>
      <c r="F54" s="1777"/>
      <c r="G54" s="1782"/>
    </row>
    <row r="55" spans="1:7" ht="13.8" x14ac:dyDescent="0.25">
      <c r="A55" s="2716" t="s">
        <v>2119</v>
      </c>
      <c r="B55" s="2716"/>
      <c r="C55" s="2716"/>
      <c r="D55" s="2716"/>
      <c r="E55" s="2716"/>
      <c r="F55" s="2716"/>
      <c r="G55" s="1783">
        <f>G43+G47+G52</f>
        <v>25000</v>
      </c>
    </row>
    <row r="56" spans="1:7" ht="13.8" x14ac:dyDescent="0.25">
      <c r="A56" s="2716" t="s">
        <v>2107</v>
      </c>
      <c r="B56" s="2716"/>
      <c r="C56" s="2716"/>
      <c r="D56" s="2716"/>
      <c r="E56" s="2716"/>
      <c r="F56" s="2716"/>
      <c r="G56" s="1783">
        <f>G55/12</f>
        <v>2083.3333333333335</v>
      </c>
    </row>
    <row r="57" spans="1:7" ht="16.2" x14ac:dyDescent="0.25">
      <c r="A57" s="2716" t="s">
        <v>2108</v>
      </c>
      <c r="B57" s="2716"/>
      <c r="C57" s="2716"/>
      <c r="D57" s="2716"/>
      <c r="E57" s="2716"/>
      <c r="F57" s="2716"/>
      <c r="G57" s="1783">
        <f>G56/2.83</f>
        <v>736.1601884570083</v>
      </c>
    </row>
    <row r="62" spans="1:7" ht="13.8" thickBot="1" x14ac:dyDescent="0.3"/>
    <row r="63" spans="1:7" ht="13.8" x14ac:dyDescent="0.25">
      <c r="A63" s="2717" t="s">
        <v>2120</v>
      </c>
      <c r="B63" s="2718"/>
      <c r="C63" s="2718"/>
      <c r="D63" s="2718"/>
      <c r="E63" s="2718"/>
      <c r="F63" s="2718"/>
      <c r="G63" s="2719"/>
    </row>
    <row r="64" spans="1:7" ht="14.4" thickBot="1" x14ac:dyDescent="0.3">
      <c r="A64" s="2720" t="s">
        <v>2105</v>
      </c>
      <c r="B64" s="2721"/>
      <c r="C64" s="2721"/>
      <c r="D64" s="2721"/>
      <c r="E64" s="2721"/>
      <c r="F64" s="2721"/>
      <c r="G64" s="2722"/>
    </row>
    <row r="65" spans="1:7" ht="14.4" thickBot="1" x14ac:dyDescent="0.3">
      <c r="A65" s="1773"/>
      <c r="B65" s="1774" t="s">
        <v>2094</v>
      </c>
      <c r="C65" s="1774" t="s">
        <v>2095</v>
      </c>
      <c r="D65" s="1774" t="s">
        <v>2</v>
      </c>
      <c r="E65" s="1774" t="s">
        <v>2096</v>
      </c>
      <c r="F65" s="1774" t="s">
        <v>5</v>
      </c>
      <c r="G65" s="1774" t="s">
        <v>2097</v>
      </c>
    </row>
    <row r="66" spans="1:7" ht="15.6" x14ac:dyDescent="0.4">
      <c r="A66" s="1775"/>
      <c r="B66" s="1787" t="s">
        <v>2110</v>
      </c>
      <c r="C66" s="1776"/>
      <c r="D66" s="1777"/>
      <c r="E66" s="1777"/>
      <c r="F66" s="1777"/>
      <c r="G66" s="1777"/>
    </row>
    <row r="67" spans="1:7" ht="13.8" x14ac:dyDescent="0.25">
      <c r="A67" s="1775"/>
      <c r="B67" s="1775"/>
      <c r="C67" s="1776"/>
      <c r="D67" s="1777"/>
      <c r="E67" s="1777"/>
      <c r="F67" s="1777"/>
      <c r="G67" s="1777"/>
    </row>
    <row r="68" spans="1:7" ht="13.8" x14ac:dyDescent="0.25">
      <c r="A68" s="1775"/>
      <c r="B68" s="1778" t="s">
        <v>2111</v>
      </c>
      <c r="C68" s="1776"/>
      <c r="D68" s="1777"/>
      <c r="E68" s="1777"/>
      <c r="F68" s="1777"/>
      <c r="G68" s="1777"/>
    </row>
    <row r="69" spans="1:7" ht="13.8" x14ac:dyDescent="0.25">
      <c r="A69" s="1786"/>
      <c r="B69" s="1786" t="s">
        <v>2121</v>
      </c>
      <c r="C69" s="1761" t="s">
        <v>131</v>
      </c>
      <c r="D69" s="1761">
        <v>12</v>
      </c>
      <c r="E69" s="1761">
        <f>Material!E23</f>
        <v>8000</v>
      </c>
      <c r="F69" s="1761">
        <f>D69*E69</f>
        <v>96000</v>
      </c>
      <c r="G69" s="1761"/>
    </row>
    <row r="70" spans="1:7" ht="13.8" x14ac:dyDescent="0.25">
      <c r="A70" s="1775"/>
      <c r="B70" s="1790" t="s">
        <v>2122</v>
      </c>
      <c r="C70" s="1777"/>
      <c r="D70" s="1777"/>
      <c r="E70" s="1777"/>
      <c r="F70" s="1777">
        <f>F69*35%</f>
        <v>33600</v>
      </c>
      <c r="G70" s="1777"/>
    </row>
    <row r="71" spans="1:7" ht="13.8" x14ac:dyDescent="0.25">
      <c r="A71" s="1775"/>
      <c r="B71" s="1776"/>
      <c r="C71" s="1777"/>
      <c r="D71" s="1777"/>
      <c r="E71" s="1777"/>
      <c r="F71" s="1777">
        <f t="shared" ref="F71:F75" si="8">D71*E71</f>
        <v>0</v>
      </c>
      <c r="G71" s="1777"/>
    </row>
    <row r="72" spans="1:7" ht="13.8" x14ac:dyDescent="0.25">
      <c r="A72" s="1775"/>
      <c r="B72" s="1775"/>
      <c r="C72" s="1776"/>
      <c r="D72" s="1777"/>
      <c r="E72" s="1777"/>
      <c r="F72" s="1777">
        <f t="shared" si="8"/>
        <v>0</v>
      </c>
      <c r="G72" s="1777"/>
    </row>
    <row r="73" spans="1:7" ht="13.8" x14ac:dyDescent="0.25">
      <c r="A73" s="1779"/>
      <c r="B73" s="2723" t="s">
        <v>2112</v>
      </c>
      <c r="C73" s="2723"/>
      <c r="D73" s="2723"/>
      <c r="E73" s="2723"/>
      <c r="F73" s="1780">
        <f t="shared" si="8"/>
        <v>0</v>
      </c>
      <c r="G73" s="1781">
        <f>SUM(F68:F73)</f>
        <v>129600</v>
      </c>
    </row>
    <row r="74" spans="1:7" ht="13.8" x14ac:dyDescent="0.25">
      <c r="A74" s="1775"/>
      <c r="B74" s="1778" t="s">
        <v>2098</v>
      </c>
      <c r="C74" s="1776"/>
      <c r="D74" s="1777"/>
      <c r="E74" s="1777"/>
      <c r="F74" s="1777">
        <f t="shared" si="8"/>
        <v>0</v>
      </c>
      <c r="G74" s="1777"/>
    </row>
    <row r="75" spans="1:7" ht="13.8" x14ac:dyDescent="0.25">
      <c r="A75" s="1775"/>
      <c r="B75" s="1775" t="s">
        <v>2113</v>
      </c>
      <c r="C75" s="1777" t="s">
        <v>2114</v>
      </c>
      <c r="D75" s="1777">
        <v>3</v>
      </c>
      <c r="E75" s="1777">
        <v>2500</v>
      </c>
      <c r="F75" s="1777">
        <f t="shared" si="8"/>
        <v>7500</v>
      </c>
      <c r="G75" s="1777"/>
    </row>
    <row r="76" spans="1:7" ht="13.8" x14ac:dyDescent="0.25">
      <c r="A76" s="1775"/>
      <c r="B76" s="1775"/>
      <c r="C76" s="1776"/>
      <c r="D76" s="1777"/>
      <c r="E76" s="1777"/>
      <c r="F76" s="1777"/>
      <c r="G76" s="1777"/>
    </row>
    <row r="77" spans="1:7" ht="13.8" x14ac:dyDescent="0.25">
      <c r="A77" s="1779"/>
      <c r="B77" s="2723" t="s">
        <v>2100</v>
      </c>
      <c r="C77" s="2723"/>
      <c r="D77" s="2723"/>
      <c r="E77" s="2723"/>
      <c r="F77" s="1780">
        <f t="shared" ref="F77" si="9">D77*E77</f>
        <v>0</v>
      </c>
      <c r="G77" s="1781">
        <f>SUM(F75:F77)</f>
        <v>7500</v>
      </c>
    </row>
    <row r="78" spans="1:7" ht="13.8" x14ac:dyDescent="0.25">
      <c r="A78" s="1775"/>
      <c r="B78" s="1778" t="s">
        <v>2115</v>
      </c>
      <c r="C78" s="1776"/>
      <c r="D78" s="1777"/>
      <c r="E78" s="1777"/>
      <c r="F78" s="1777"/>
      <c r="G78" s="1777"/>
    </row>
    <row r="79" spans="1:7" ht="13.8" x14ac:dyDescent="0.25">
      <c r="A79" s="1775"/>
      <c r="B79" s="1775"/>
      <c r="C79" s="1776"/>
      <c r="D79" s="1777"/>
      <c r="E79" s="1777"/>
      <c r="F79" s="1777"/>
      <c r="G79" s="1777"/>
    </row>
    <row r="80" spans="1:7" ht="13.8" x14ac:dyDescent="0.25">
      <c r="A80" s="1775"/>
      <c r="B80" s="1775" t="s">
        <v>2116</v>
      </c>
      <c r="C80" s="1777" t="s">
        <v>2117</v>
      </c>
      <c r="D80" s="1777">
        <v>24</v>
      </c>
      <c r="E80" s="1777">
        <v>625</v>
      </c>
      <c r="F80" s="1777">
        <f>D80*E80</f>
        <v>15000</v>
      </c>
      <c r="G80" s="1777"/>
    </row>
    <row r="81" spans="1:8" ht="13.8" x14ac:dyDescent="0.25">
      <c r="A81" s="1775"/>
      <c r="B81" s="1775"/>
      <c r="C81" s="1776"/>
      <c r="D81" s="1777"/>
      <c r="E81" s="1777"/>
      <c r="F81" s="1777"/>
      <c r="G81" s="1777"/>
    </row>
    <row r="82" spans="1:8" ht="13.8" x14ac:dyDescent="0.25">
      <c r="A82" s="1779"/>
      <c r="B82" s="2723" t="s">
        <v>2118</v>
      </c>
      <c r="C82" s="2723"/>
      <c r="D82" s="2723"/>
      <c r="E82" s="2723"/>
      <c r="F82" s="1780">
        <f t="shared" ref="F82" si="10">D82*E82</f>
        <v>0</v>
      </c>
      <c r="G82" s="1781">
        <f>SUM(F79:F82)</f>
        <v>15000</v>
      </c>
    </row>
    <row r="83" spans="1:8" ht="13.8" x14ac:dyDescent="0.25">
      <c r="A83" s="1775"/>
      <c r="B83" s="1782"/>
      <c r="C83" s="1782"/>
      <c r="D83" s="1782"/>
      <c r="E83" s="1782"/>
      <c r="F83" s="1777"/>
      <c r="G83" s="1782"/>
    </row>
    <row r="84" spans="1:8" ht="13.8" x14ac:dyDescent="0.25">
      <c r="A84" s="1775"/>
      <c r="B84" s="1782"/>
      <c r="C84" s="1782"/>
      <c r="D84" s="1782"/>
      <c r="E84" s="1782"/>
      <c r="F84" s="1777"/>
      <c r="G84" s="1782"/>
    </row>
    <row r="85" spans="1:8" ht="13.8" x14ac:dyDescent="0.25">
      <c r="A85" s="2716" t="s">
        <v>2119</v>
      </c>
      <c r="B85" s="2716"/>
      <c r="C85" s="2716"/>
      <c r="D85" s="2716"/>
      <c r="E85" s="2716"/>
      <c r="F85" s="2716"/>
      <c r="G85" s="1783">
        <f>G73+G77+G82</f>
        <v>152100</v>
      </c>
    </row>
    <row r="86" spans="1:8" ht="13.8" x14ac:dyDescent="0.25">
      <c r="A86" s="2716" t="s">
        <v>2107</v>
      </c>
      <c r="B86" s="2716"/>
      <c r="C86" s="2716"/>
      <c r="D86" s="2716"/>
      <c r="E86" s="2716"/>
      <c r="F86" s="2716"/>
      <c r="G86" s="1783">
        <f>G85/12</f>
        <v>12675</v>
      </c>
    </row>
    <row r="87" spans="1:8" ht="16.2" x14ac:dyDescent="0.25">
      <c r="A87" s="2716" t="s">
        <v>2108</v>
      </c>
      <c r="B87" s="2716"/>
      <c r="C87" s="2716"/>
      <c r="D87" s="2716"/>
      <c r="E87" s="2716"/>
      <c r="F87" s="2716"/>
      <c r="G87" s="1783">
        <f>G86/2.83</f>
        <v>4478.7985865724377</v>
      </c>
      <c r="H87" s="2072"/>
    </row>
    <row r="89" spans="1:8" ht="13.8" thickBot="1" x14ac:dyDescent="0.3"/>
    <row r="90" spans="1:8" ht="13.8" x14ac:dyDescent="0.25">
      <c r="A90" s="2717" t="s">
        <v>1932</v>
      </c>
      <c r="B90" s="2718"/>
      <c r="C90" s="2718"/>
      <c r="D90" s="2718"/>
      <c r="E90" s="2718"/>
      <c r="F90" s="2718"/>
      <c r="G90" s="2719"/>
    </row>
    <row r="91" spans="1:8" ht="14.4" thickBot="1" x14ac:dyDescent="0.3">
      <c r="A91" s="2720" t="s">
        <v>2105</v>
      </c>
      <c r="B91" s="2721"/>
      <c r="C91" s="2721"/>
      <c r="D91" s="2721"/>
      <c r="E91" s="2721"/>
      <c r="F91" s="2721"/>
      <c r="G91" s="2722"/>
    </row>
    <row r="92" spans="1:8" ht="14.4" thickBot="1" x14ac:dyDescent="0.3">
      <c r="A92" s="1773"/>
      <c r="B92" s="1774" t="s">
        <v>2094</v>
      </c>
      <c r="C92" s="1774" t="s">
        <v>2095</v>
      </c>
      <c r="D92" s="1774" t="s">
        <v>2</v>
      </c>
      <c r="E92" s="1774" t="s">
        <v>2096</v>
      </c>
      <c r="F92" s="1774" t="s">
        <v>5</v>
      </c>
      <c r="G92" s="1774" t="s">
        <v>2097</v>
      </c>
    </row>
    <row r="93" spans="1:8" ht="15.6" x14ac:dyDescent="0.4">
      <c r="A93" s="1775"/>
      <c r="B93" s="1787" t="s">
        <v>2110</v>
      </c>
      <c r="C93" s="1776"/>
      <c r="D93" s="1777"/>
      <c r="E93" s="1777"/>
      <c r="F93" s="1777"/>
      <c r="G93" s="1777"/>
    </row>
    <row r="94" spans="1:8" ht="13.8" x14ac:dyDescent="0.25">
      <c r="A94" s="1775"/>
      <c r="B94" s="1775"/>
      <c r="C94" s="1776"/>
      <c r="D94" s="1777"/>
      <c r="E94" s="1777"/>
      <c r="F94" s="1777"/>
      <c r="G94" s="1777"/>
    </row>
    <row r="95" spans="1:8" ht="13.8" x14ac:dyDescent="0.25">
      <c r="A95" s="1775"/>
      <c r="B95" s="1778" t="s">
        <v>2111</v>
      </c>
      <c r="C95" s="1776"/>
      <c r="D95" s="1777"/>
      <c r="E95" s="1777"/>
      <c r="F95" s="1777"/>
      <c r="G95" s="1777"/>
    </row>
    <row r="96" spans="1:8" ht="13.8" x14ac:dyDescent="0.25">
      <c r="A96" s="1786"/>
      <c r="B96" s="1786" t="s">
        <v>2334</v>
      </c>
      <c r="C96" s="1761" t="s">
        <v>131</v>
      </c>
      <c r="D96" s="1761">
        <v>5</v>
      </c>
      <c r="E96" s="1761">
        <f>+Material!E24</f>
        <v>17000</v>
      </c>
      <c r="F96" s="1761">
        <f>D96*E96</f>
        <v>85000</v>
      </c>
      <c r="G96" s="1761"/>
    </row>
    <row r="97" spans="1:7" ht="13.8" x14ac:dyDescent="0.25">
      <c r="A97" s="1775"/>
      <c r="B97" s="1790" t="s">
        <v>2335</v>
      </c>
      <c r="C97" s="1777"/>
      <c r="D97" s="1777"/>
      <c r="E97" s="1777"/>
      <c r="F97" s="1777">
        <f>F96*10%</f>
        <v>8500</v>
      </c>
      <c r="G97" s="1777"/>
    </row>
    <row r="98" spans="1:7" ht="13.8" x14ac:dyDescent="0.25">
      <c r="A98" s="1775"/>
      <c r="B98" s="1776"/>
      <c r="C98" s="1777"/>
      <c r="D98" s="1777"/>
      <c r="E98" s="1777"/>
      <c r="F98" s="1777">
        <f t="shared" ref="F98:F102" si="11">D98*E98</f>
        <v>0</v>
      </c>
      <c r="G98" s="1777"/>
    </row>
    <row r="99" spans="1:7" ht="13.8" x14ac:dyDescent="0.25">
      <c r="A99" s="1775"/>
      <c r="B99" s="1775"/>
      <c r="C99" s="1776"/>
      <c r="D99" s="1777"/>
      <c r="E99" s="1777"/>
      <c r="F99" s="1777">
        <f t="shared" si="11"/>
        <v>0</v>
      </c>
      <c r="G99" s="1777"/>
    </row>
    <row r="100" spans="1:7" ht="13.8" x14ac:dyDescent="0.25">
      <c r="A100" s="1779"/>
      <c r="B100" s="2723" t="s">
        <v>2112</v>
      </c>
      <c r="C100" s="2723"/>
      <c r="D100" s="2723"/>
      <c r="E100" s="2723"/>
      <c r="F100" s="1780">
        <f t="shared" si="11"/>
        <v>0</v>
      </c>
      <c r="G100" s="1781">
        <f>SUM(F95:F100)</f>
        <v>93500</v>
      </c>
    </row>
    <row r="101" spans="1:7" ht="13.8" x14ac:dyDescent="0.25">
      <c r="A101" s="1775"/>
      <c r="B101" s="1778" t="s">
        <v>2098</v>
      </c>
      <c r="C101" s="1776"/>
      <c r="D101" s="1777"/>
      <c r="E101" s="1777"/>
      <c r="F101" s="1777">
        <f t="shared" si="11"/>
        <v>0</v>
      </c>
      <c r="G101" s="1777"/>
    </row>
    <row r="102" spans="1:7" ht="13.8" x14ac:dyDescent="0.25">
      <c r="A102" s="1775"/>
      <c r="B102" s="1775" t="s">
        <v>2113</v>
      </c>
      <c r="C102" s="1777" t="s">
        <v>2114</v>
      </c>
      <c r="D102" s="1777">
        <v>3</v>
      </c>
      <c r="E102" s="1777">
        <v>2500</v>
      </c>
      <c r="F102" s="1777">
        <f t="shared" si="11"/>
        <v>7500</v>
      </c>
      <c r="G102" s="1777"/>
    </row>
    <row r="103" spans="1:7" ht="13.8" x14ac:dyDescent="0.25">
      <c r="A103" s="1775"/>
      <c r="B103" s="1775"/>
      <c r="C103" s="1776"/>
      <c r="D103" s="1777"/>
      <c r="E103" s="1777"/>
      <c r="F103" s="1777"/>
      <c r="G103" s="1777"/>
    </row>
    <row r="104" spans="1:7" ht="13.8" x14ac:dyDescent="0.25">
      <c r="A104" s="1779"/>
      <c r="B104" s="2723" t="s">
        <v>2100</v>
      </c>
      <c r="C104" s="2723"/>
      <c r="D104" s="2723"/>
      <c r="E104" s="2723"/>
      <c r="F104" s="1780">
        <f t="shared" ref="F104" si="12">D104*E104</f>
        <v>0</v>
      </c>
      <c r="G104" s="1781">
        <f>SUM(F102:F104)</f>
        <v>7500</v>
      </c>
    </row>
    <row r="105" spans="1:7" ht="13.8" x14ac:dyDescent="0.25">
      <c r="A105" s="1775"/>
      <c r="B105" s="1778" t="s">
        <v>2115</v>
      </c>
      <c r="C105" s="1776"/>
      <c r="D105" s="1777"/>
      <c r="E105" s="1777"/>
      <c r="F105" s="1777"/>
      <c r="G105" s="1777"/>
    </row>
    <row r="106" spans="1:7" ht="13.8" x14ac:dyDescent="0.25">
      <c r="A106" s="1775"/>
      <c r="B106" s="1775"/>
      <c r="C106" s="1776"/>
      <c r="D106" s="1777"/>
      <c r="E106" s="1777"/>
      <c r="F106" s="1777"/>
      <c r="G106" s="1777"/>
    </row>
    <row r="107" spans="1:7" ht="13.8" x14ac:dyDescent="0.25">
      <c r="A107" s="1775"/>
      <c r="B107" s="1775" t="s">
        <v>2123</v>
      </c>
      <c r="C107" s="1777" t="s">
        <v>2117</v>
      </c>
      <c r="D107" s="1777">
        <v>3</v>
      </c>
      <c r="E107" s="1777">
        <v>7000</v>
      </c>
      <c r="F107" s="1777">
        <f>D107*E107</f>
        <v>21000</v>
      </c>
      <c r="G107" s="1777"/>
    </row>
    <row r="108" spans="1:7" ht="13.8" x14ac:dyDescent="0.25">
      <c r="A108" s="1775"/>
      <c r="B108" s="1775" t="s">
        <v>2116</v>
      </c>
      <c r="C108" s="1777" t="s">
        <v>2117</v>
      </c>
      <c r="D108" s="1777">
        <v>10</v>
      </c>
      <c r="E108" s="1777">
        <v>625</v>
      </c>
      <c r="F108" s="1777">
        <f>D108*E108</f>
        <v>6250</v>
      </c>
      <c r="G108" s="1777"/>
    </row>
    <row r="109" spans="1:7" ht="13.8" x14ac:dyDescent="0.25">
      <c r="A109" s="1775"/>
      <c r="B109" s="1775"/>
      <c r="C109" s="1776"/>
      <c r="D109" s="1777"/>
      <c r="E109" s="1777"/>
      <c r="F109" s="1777"/>
      <c r="G109" s="1777"/>
    </row>
    <row r="110" spans="1:7" ht="13.8" x14ac:dyDescent="0.25">
      <c r="A110" s="1779"/>
      <c r="B110" s="2723" t="s">
        <v>2118</v>
      </c>
      <c r="C110" s="2723"/>
      <c r="D110" s="2723"/>
      <c r="E110" s="2723"/>
      <c r="F110" s="1780">
        <f t="shared" ref="F110" si="13">D110*E110</f>
        <v>0</v>
      </c>
      <c r="G110" s="1781">
        <f>SUM(F106:F110)</f>
        <v>27250</v>
      </c>
    </row>
    <row r="111" spans="1:7" ht="13.8" x14ac:dyDescent="0.25">
      <c r="A111" s="1775"/>
      <c r="B111" s="1782"/>
      <c r="C111" s="1782"/>
      <c r="D111" s="1782"/>
      <c r="E111" s="1782"/>
      <c r="F111" s="1777"/>
      <c r="G111" s="1782"/>
    </row>
    <row r="112" spans="1:7" ht="13.8" x14ac:dyDescent="0.25">
      <c r="A112" s="1775"/>
      <c r="B112" s="1782"/>
      <c r="C112" s="1782"/>
      <c r="D112" s="1782"/>
      <c r="E112" s="1782"/>
      <c r="F112" s="1777"/>
      <c r="G112" s="1782"/>
    </row>
    <row r="113" spans="1:7" ht="13.8" x14ac:dyDescent="0.25">
      <c r="A113" s="2716" t="s">
        <v>2119</v>
      </c>
      <c r="B113" s="2716"/>
      <c r="C113" s="2716"/>
      <c r="D113" s="2716"/>
      <c r="E113" s="2716"/>
      <c r="F113" s="2716"/>
      <c r="G113" s="1783">
        <f>G100+G104+G110</f>
        <v>128250</v>
      </c>
    </row>
    <row r="114" spans="1:7" ht="13.8" x14ac:dyDescent="0.25">
      <c r="A114" s="2716" t="s">
        <v>2107</v>
      </c>
      <c r="B114" s="2716"/>
      <c r="C114" s="2716"/>
      <c r="D114" s="2716"/>
      <c r="E114" s="2716"/>
      <c r="F114" s="2716"/>
      <c r="G114" s="1783">
        <f>G113/12</f>
        <v>10687.5</v>
      </c>
    </row>
    <row r="115" spans="1:7" ht="16.2" x14ac:dyDescent="0.25">
      <c r="A115" s="2716" t="s">
        <v>2108</v>
      </c>
      <c r="B115" s="2716"/>
      <c r="C115" s="2716"/>
      <c r="D115" s="2716"/>
      <c r="E115" s="2716"/>
      <c r="F115" s="2716"/>
      <c r="G115" s="1783">
        <f>G114/2.83</f>
        <v>3776.5017667844522</v>
      </c>
    </row>
    <row r="119" spans="1:7" ht="13.8" thickBot="1" x14ac:dyDescent="0.3"/>
    <row r="120" spans="1:7" ht="13.8" x14ac:dyDescent="0.25">
      <c r="A120" s="2717" t="s">
        <v>2124</v>
      </c>
      <c r="B120" s="2718"/>
      <c r="C120" s="2718"/>
      <c r="D120" s="2718"/>
      <c r="E120" s="2718"/>
      <c r="F120" s="2718"/>
      <c r="G120" s="2719"/>
    </row>
    <row r="121" spans="1:7" ht="14.4" thickBot="1" x14ac:dyDescent="0.3">
      <c r="A121" s="2720" t="s">
        <v>2093</v>
      </c>
      <c r="B121" s="2721"/>
      <c r="C121" s="2721"/>
      <c r="D121" s="2721"/>
      <c r="E121" s="2721"/>
      <c r="F121" s="2721"/>
      <c r="G121" s="2722"/>
    </row>
    <row r="122" spans="1:7" ht="14.4" thickBot="1" x14ac:dyDescent="0.3">
      <c r="A122" s="1773"/>
      <c r="B122" s="1774" t="s">
        <v>2094</v>
      </c>
      <c r="C122" s="1774" t="s">
        <v>2095</v>
      </c>
      <c r="D122" s="1774" t="s">
        <v>2</v>
      </c>
      <c r="E122" s="1774" t="s">
        <v>2096</v>
      </c>
      <c r="F122" s="1774" t="s">
        <v>5</v>
      </c>
      <c r="G122" s="1774" t="s">
        <v>2097</v>
      </c>
    </row>
    <row r="123" spans="1:7" ht="13.8" x14ac:dyDescent="0.25">
      <c r="A123" s="1775"/>
      <c r="B123" s="1775"/>
      <c r="C123" s="1776"/>
      <c r="D123" s="1777"/>
      <c r="E123" s="1777"/>
      <c r="F123" s="1777"/>
      <c r="G123" s="1777"/>
    </row>
    <row r="124" spans="1:7" ht="13.8" x14ac:dyDescent="0.25">
      <c r="A124" s="1775"/>
      <c r="B124" s="1778" t="s">
        <v>2111</v>
      </c>
      <c r="C124" s="1776"/>
      <c r="D124" s="1777"/>
      <c r="E124" s="1777"/>
      <c r="F124" s="1777"/>
      <c r="G124" s="1777"/>
    </row>
    <row r="125" spans="1:7" ht="13.8" x14ac:dyDescent="0.25">
      <c r="A125" s="1788"/>
      <c r="B125" s="1788" t="s">
        <v>1992</v>
      </c>
      <c r="C125" s="1789" t="s">
        <v>134</v>
      </c>
      <c r="D125" s="1789">
        <v>2.5</v>
      </c>
      <c r="E125" s="1789">
        <f>Material!E63</f>
        <v>650</v>
      </c>
      <c r="F125" s="1789">
        <f>D125*E125</f>
        <v>1625</v>
      </c>
      <c r="G125" s="1789"/>
    </row>
    <row r="126" spans="1:7" ht="13.8" x14ac:dyDescent="0.25">
      <c r="A126" s="1775"/>
      <c r="B126" s="1790"/>
      <c r="C126" s="1777"/>
      <c r="D126" s="1777"/>
      <c r="E126" s="1777"/>
      <c r="F126" s="1777"/>
      <c r="G126" s="1777"/>
    </row>
    <row r="127" spans="1:7" ht="13.8" x14ac:dyDescent="0.25">
      <c r="A127" s="1775"/>
      <c r="B127" s="1776"/>
      <c r="C127" s="1777"/>
      <c r="D127" s="1777"/>
      <c r="E127" s="1777"/>
      <c r="F127" s="1777"/>
      <c r="G127" s="1777"/>
    </row>
    <row r="128" spans="1:7" ht="13.8" x14ac:dyDescent="0.25">
      <c r="A128" s="1775"/>
      <c r="B128" s="1775"/>
      <c r="C128" s="1776"/>
      <c r="D128" s="1777"/>
      <c r="E128" s="1777"/>
      <c r="F128" s="1777">
        <f t="shared" ref="F128:F131" si="14">D128*E128</f>
        <v>0</v>
      </c>
      <c r="G128" s="1777"/>
    </row>
    <row r="129" spans="1:7" ht="13.8" x14ac:dyDescent="0.25">
      <c r="A129" s="1779"/>
      <c r="B129" s="2723" t="s">
        <v>2112</v>
      </c>
      <c r="C129" s="2723"/>
      <c r="D129" s="2723"/>
      <c r="E129" s="2723"/>
      <c r="F129" s="1780">
        <f t="shared" si="14"/>
        <v>0</v>
      </c>
      <c r="G129" s="1781">
        <f>SUM(F124:F129)</f>
        <v>1625</v>
      </c>
    </row>
    <row r="130" spans="1:7" ht="13.8" x14ac:dyDescent="0.25">
      <c r="A130" s="1775"/>
      <c r="B130" s="1778" t="s">
        <v>2098</v>
      </c>
      <c r="C130" s="1776"/>
      <c r="D130" s="1777"/>
      <c r="E130" s="1777"/>
      <c r="F130" s="1777">
        <f t="shared" si="14"/>
        <v>0</v>
      </c>
      <c r="G130" s="1777"/>
    </row>
    <row r="131" spans="1:7" ht="13.8" x14ac:dyDescent="0.25">
      <c r="A131" s="1775"/>
      <c r="B131" s="1775" t="s">
        <v>2125</v>
      </c>
      <c r="C131" s="1777" t="s">
        <v>2126</v>
      </c>
      <c r="D131" s="1777">
        <v>100</v>
      </c>
      <c r="E131" s="1777">
        <v>5</v>
      </c>
      <c r="F131" s="1777">
        <f t="shared" si="14"/>
        <v>500</v>
      </c>
      <c r="G131" s="1777"/>
    </row>
    <row r="132" spans="1:7" ht="13.8" x14ac:dyDescent="0.25">
      <c r="A132" s="1775"/>
      <c r="B132" s="1775"/>
      <c r="C132" s="1776"/>
      <c r="D132" s="1777"/>
      <c r="E132" s="1777"/>
      <c r="F132" s="1777"/>
      <c r="G132" s="1777"/>
    </row>
    <row r="133" spans="1:7" ht="13.8" x14ac:dyDescent="0.25">
      <c r="A133" s="1779"/>
      <c r="B133" s="2723" t="s">
        <v>2100</v>
      </c>
      <c r="C133" s="2723"/>
      <c r="D133" s="2723"/>
      <c r="E133" s="2723"/>
      <c r="F133" s="1780">
        <f t="shared" ref="F133" si="15">D133*E133</f>
        <v>0</v>
      </c>
      <c r="G133" s="1781">
        <f>SUM(F131:F133)</f>
        <v>500</v>
      </c>
    </row>
    <row r="134" spans="1:7" ht="13.8" x14ac:dyDescent="0.25">
      <c r="A134" s="1775"/>
      <c r="B134" s="1782"/>
      <c r="C134" s="1782"/>
      <c r="D134" s="1782"/>
      <c r="E134" s="1782"/>
      <c r="F134" s="1777"/>
      <c r="G134" s="1782"/>
    </row>
    <row r="135" spans="1:7" ht="13.8" x14ac:dyDescent="0.25">
      <c r="A135" s="1775"/>
      <c r="B135" s="1782"/>
      <c r="C135" s="1782"/>
      <c r="D135" s="1782"/>
      <c r="E135" s="1782"/>
      <c r="F135" s="1777"/>
      <c r="G135" s="1782"/>
    </row>
    <row r="136" spans="1:7" ht="13.8" x14ac:dyDescent="0.25">
      <c r="A136" s="2716" t="s">
        <v>2127</v>
      </c>
      <c r="B136" s="2716"/>
      <c r="C136" s="2716"/>
      <c r="D136" s="2716"/>
      <c r="E136" s="2716"/>
      <c r="F136" s="2716"/>
      <c r="G136" s="1783">
        <f>G129+G133</f>
        <v>2125</v>
      </c>
    </row>
    <row r="137" spans="1:7" ht="13.8" x14ac:dyDescent="0.25">
      <c r="A137" s="2716" t="s">
        <v>2128</v>
      </c>
      <c r="B137" s="2716"/>
      <c r="C137" s="2716"/>
      <c r="D137" s="2716"/>
      <c r="E137" s="2716"/>
      <c r="F137" s="2716"/>
      <c r="G137" s="1783">
        <f>G136/9.29</f>
        <v>228.74058127018301</v>
      </c>
    </row>
    <row r="138" spans="1:7" ht="14.4" thickBot="1" x14ac:dyDescent="0.3">
      <c r="A138" s="2724" t="s">
        <v>2129</v>
      </c>
      <c r="B138" s="2724"/>
      <c r="C138" s="2724"/>
      <c r="D138" s="2724"/>
      <c r="E138" s="2724"/>
      <c r="F138" s="2724"/>
      <c r="G138" s="1784">
        <f>G137/10.76</f>
        <v>21.258418333660131</v>
      </c>
    </row>
    <row r="139" spans="1:7" ht="13.8" thickBot="1" x14ac:dyDescent="0.3"/>
    <row r="140" spans="1:7" ht="13.8" x14ac:dyDescent="0.25">
      <c r="A140" s="2717" t="s">
        <v>805</v>
      </c>
      <c r="B140" s="2718"/>
      <c r="C140" s="2718"/>
      <c r="D140" s="2718"/>
      <c r="E140" s="2718"/>
      <c r="F140" s="2718"/>
      <c r="G140" s="2719"/>
    </row>
    <row r="141" spans="1:7" ht="14.4" thickBot="1" x14ac:dyDescent="0.3">
      <c r="A141" s="2720" t="s">
        <v>2093</v>
      </c>
      <c r="B141" s="2721"/>
      <c r="C141" s="2721"/>
      <c r="D141" s="2721"/>
      <c r="E141" s="2721"/>
      <c r="F141" s="2721"/>
      <c r="G141" s="2722"/>
    </row>
    <row r="142" spans="1:7" ht="14.4" thickBot="1" x14ac:dyDescent="0.3">
      <c r="A142" s="1773"/>
      <c r="B142" s="1774" t="s">
        <v>2094</v>
      </c>
      <c r="C142" s="1774" t="s">
        <v>2095</v>
      </c>
      <c r="D142" s="1774" t="s">
        <v>2</v>
      </c>
      <c r="E142" s="1774" t="s">
        <v>2096</v>
      </c>
      <c r="F142" s="1774" t="s">
        <v>5</v>
      </c>
      <c r="G142" s="1774" t="s">
        <v>2097</v>
      </c>
    </row>
    <row r="143" spans="1:7" ht="13.8" x14ac:dyDescent="0.25">
      <c r="A143" s="1775"/>
      <c r="B143" s="1775"/>
      <c r="C143" s="1776"/>
      <c r="D143" s="1777"/>
      <c r="E143" s="1777"/>
      <c r="F143" s="1777"/>
      <c r="G143" s="1777"/>
    </row>
    <row r="144" spans="1:7" ht="13.8" x14ac:dyDescent="0.25">
      <c r="A144" s="1775"/>
      <c r="B144" s="1778" t="s">
        <v>2111</v>
      </c>
      <c r="C144" s="1776"/>
      <c r="D144" s="1777"/>
      <c r="E144" s="1777"/>
      <c r="F144" s="1777"/>
      <c r="G144" s="1777"/>
    </row>
    <row r="145" spans="1:7" ht="13.8" x14ac:dyDescent="0.25">
      <c r="A145" s="1788"/>
      <c r="B145" s="1788" t="s">
        <v>2328</v>
      </c>
      <c r="C145" s="1789" t="s">
        <v>2074</v>
      </c>
      <c r="D145" s="1789">
        <v>0.8</v>
      </c>
      <c r="E145" s="1789">
        <f>+F197</f>
        <v>2235.625</v>
      </c>
      <c r="F145" s="1789">
        <f>D145*E145</f>
        <v>1788.5</v>
      </c>
      <c r="G145" s="1789"/>
    </row>
    <row r="146" spans="1:7" ht="13.8" x14ac:dyDescent="0.25">
      <c r="A146" s="1775"/>
      <c r="B146" s="1790" t="s">
        <v>1947</v>
      </c>
      <c r="C146" s="1777" t="s">
        <v>1947</v>
      </c>
      <c r="D146" s="1777">
        <v>0.03</v>
      </c>
      <c r="E146" s="1777">
        <f>+Material!E13</f>
        <v>23500</v>
      </c>
      <c r="F146" s="1789">
        <f t="shared" ref="F146" si="16">D146*E146</f>
        <v>705</v>
      </c>
      <c r="G146" s="1777"/>
    </row>
    <row r="147" spans="1:7" ht="13.8" x14ac:dyDescent="0.25">
      <c r="A147" s="1775"/>
      <c r="B147" s="1790"/>
      <c r="C147" s="1777"/>
      <c r="D147" s="1777"/>
      <c r="E147" s="1777"/>
      <c r="F147" s="1789"/>
      <c r="G147" s="1777"/>
    </row>
    <row r="148" spans="1:7" ht="13.8" x14ac:dyDescent="0.25">
      <c r="A148" s="1775"/>
      <c r="B148" s="1790" t="s">
        <v>2329</v>
      </c>
      <c r="C148" s="1777" t="s">
        <v>2330</v>
      </c>
      <c r="D148" s="1777">
        <v>3.5</v>
      </c>
      <c r="E148" s="1777">
        <v>925</v>
      </c>
      <c r="F148" s="1789">
        <f>+E148*D148</f>
        <v>3237.5</v>
      </c>
      <c r="G148" s="1777"/>
    </row>
    <row r="149" spans="1:7" ht="13.8" x14ac:dyDescent="0.25">
      <c r="A149" s="1775"/>
      <c r="B149" s="1776"/>
      <c r="C149" s="1777"/>
      <c r="D149" s="1777"/>
      <c r="E149" s="1777"/>
      <c r="F149" s="1789"/>
      <c r="G149" s="1777"/>
    </row>
    <row r="150" spans="1:7" ht="13.8" x14ac:dyDescent="0.25">
      <c r="A150" s="1775"/>
      <c r="B150" s="1775"/>
      <c r="C150" s="1776"/>
      <c r="D150" s="1777"/>
      <c r="E150" s="1777"/>
      <c r="F150" s="1777"/>
      <c r="G150" s="1777"/>
    </row>
    <row r="151" spans="1:7" ht="13.8" x14ac:dyDescent="0.25">
      <c r="A151" s="1779"/>
      <c r="B151" s="2723" t="s">
        <v>2112</v>
      </c>
      <c r="C151" s="2723"/>
      <c r="D151" s="2723"/>
      <c r="E151" s="2723"/>
      <c r="F151" s="1780"/>
      <c r="G151" s="1781">
        <f>SUM(F144:F151)</f>
        <v>5731</v>
      </c>
    </row>
    <row r="152" spans="1:7" ht="13.8" x14ac:dyDescent="0.25">
      <c r="A152" s="1775"/>
      <c r="B152" s="1778" t="s">
        <v>2098</v>
      </c>
      <c r="C152" s="1776"/>
      <c r="D152" s="1777"/>
      <c r="E152" s="1777"/>
      <c r="F152" s="1777"/>
      <c r="G152" s="1777"/>
    </row>
    <row r="153" spans="1:7" ht="13.8" x14ac:dyDescent="0.25">
      <c r="A153" s="1775"/>
      <c r="B153" s="1775" t="s">
        <v>2125</v>
      </c>
      <c r="C153" s="1777" t="s">
        <v>2126</v>
      </c>
      <c r="D153" s="1777">
        <v>100</v>
      </c>
      <c r="E153" s="1777">
        <v>5</v>
      </c>
      <c r="F153" s="1777">
        <f t="shared" ref="F153" si="17">D153*E153</f>
        <v>500</v>
      </c>
      <c r="G153" s="1777"/>
    </row>
    <row r="154" spans="1:7" ht="13.8" x14ac:dyDescent="0.25">
      <c r="A154" s="1775"/>
      <c r="B154" s="1775"/>
      <c r="C154" s="1776"/>
      <c r="D154" s="1777"/>
      <c r="E154" s="1777"/>
      <c r="F154" s="1777"/>
      <c r="G154" s="1777"/>
    </row>
    <row r="155" spans="1:7" ht="13.8" x14ac:dyDescent="0.25">
      <c r="A155" s="1779"/>
      <c r="B155" s="2723" t="s">
        <v>2100</v>
      </c>
      <c r="C155" s="2723"/>
      <c r="D155" s="2723"/>
      <c r="E155" s="2723"/>
      <c r="F155" s="1780">
        <f t="shared" ref="F155" si="18">D155*E155</f>
        <v>0</v>
      </c>
      <c r="G155" s="1781">
        <f>SUM(F153:F155)</f>
        <v>500</v>
      </c>
    </row>
    <row r="156" spans="1:7" ht="13.8" x14ac:dyDescent="0.25">
      <c r="A156" s="1775"/>
      <c r="B156" s="1782"/>
      <c r="C156" s="1782"/>
      <c r="D156" s="1782"/>
      <c r="E156" s="1782"/>
      <c r="F156" s="1777"/>
      <c r="G156" s="1782"/>
    </row>
    <row r="157" spans="1:7" ht="13.8" x14ac:dyDescent="0.25">
      <c r="A157" s="1775"/>
      <c r="B157" s="1782"/>
      <c r="C157" s="1782"/>
      <c r="D157" s="1782"/>
      <c r="E157" s="1782"/>
      <c r="F157" s="1777"/>
      <c r="G157" s="1782"/>
    </row>
    <row r="158" spans="1:7" ht="13.8" x14ac:dyDescent="0.25">
      <c r="A158" s="2716" t="s">
        <v>2127</v>
      </c>
      <c r="B158" s="2716"/>
      <c r="C158" s="2716"/>
      <c r="D158" s="2716"/>
      <c r="E158" s="2716"/>
      <c r="F158" s="2716"/>
      <c r="G158" s="1783">
        <f>G151+G155</f>
        <v>6231</v>
      </c>
    </row>
    <row r="159" spans="1:7" ht="13.8" x14ac:dyDescent="0.25">
      <c r="A159" s="2716" t="s">
        <v>2128</v>
      </c>
      <c r="B159" s="2716"/>
      <c r="C159" s="2716"/>
      <c r="D159" s="2716"/>
      <c r="E159" s="2716"/>
      <c r="F159" s="2716"/>
      <c r="G159" s="1783">
        <f>G158/9.29</f>
        <v>670.72120559741666</v>
      </c>
    </row>
    <row r="160" spans="1:7" ht="14.4" thickBot="1" x14ac:dyDescent="0.3">
      <c r="A160" s="2724" t="s">
        <v>2129</v>
      </c>
      <c r="B160" s="2724"/>
      <c r="C160" s="2724"/>
      <c r="D160" s="2724"/>
      <c r="E160" s="2724"/>
      <c r="F160" s="2724"/>
      <c r="G160" s="1784">
        <f>G159/10.76</f>
        <v>62.334684535075901</v>
      </c>
    </row>
    <row r="183" spans="1:7" x14ac:dyDescent="0.25">
      <c r="A183" s="2733" t="s">
        <v>2130</v>
      </c>
      <c r="B183" s="2733"/>
      <c r="C183" s="2733"/>
      <c r="D183" s="2733"/>
      <c r="E183" s="2733"/>
      <c r="F183" s="2733"/>
      <c r="G183" s="2733"/>
    </row>
    <row r="187" spans="1:7" ht="13.8" x14ac:dyDescent="0.25">
      <c r="A187" s="2739" t="s">
        <v>2131</v>
      </c>
      <c r="B187" s="2739"/>
      <c r="C187" s="1791"/>
      <c r="D187" s="1792"/>
      <c r="E187" s="1792"/>
      <c r="F187" s="1792"/>
    </row>
    <row r="188" spans="1:7" ht="13.8" x14ac:dyDescent="0.25">
      <c r="A188" s="1793"/>
      <c r="B188" s="1794" t="s">
        <v>2094</v>
      </c>
      <c r="C188" s="1794" t="s">
        <v>2095</v>
      </c>
      <c r="D188" s="1794" t="s">
        <v>2</v>
      </c>
      <c r="E188" s="1794" t="s">
        <v>2096</v>
      </c>
      <c r="F188" s="1794" t="s">
        <v>5</v>
      </c>
    </row>
    <row r="189" spans="1:7" ht="13.8" x14ac:dyDescent="0.25">
      <c r="A189" s="1795"/>
      <c r="B189" s="1795"/>
      <c r="C189" s="1796"/>
      <c r="D189" s="1797"/>
      <c r="E189" s="1797"/>
      <c r="F189" s="1797"/>
    </row>
    <row r="190" spans="1:7" ht="13.8" x14ac:dyDescent="0.25">
      <c r="A190" s="1798"/>
      <c r="B190" s="1798" t="s">
        <v>2132</v>
      </c>
      <c r="C190" s="1799" t="s">
        <v>2074</v>
      </c>
      <c r="D190" s="1799">
        <v>50</v>
      </c>
      <c r="E190" s="1799">
        <f>Material!D10</f>
        <v>2100</v>
      </c>
      <c r="F190" s="1799">
        <f>D190*E190</f>
        <v>105000</v>
      </c>
    </row>
    <row r="191" spans="1:7" ht="13.8" x14ac:dyDescent="0.25">
      <c r="A191" s="1795"/>
      <c r="B191" s="1800" t="s">
        <v>2133</v>
      </c>
      <c r="C191" s="1797" t="s">
        <v>2117</v>
      </c>
      <c r="D191" s="1797">
        <v>2.5</v>
      </c>
      <c r="E191" s="1797">
        <v>312.5</v>
      </c>
      <c r="F191" s="1797">
        <f>D191*E191</f>
        <v>781.25</v>
      </c>
    </row>
    <row r="192" spans="1:7" ht="13.8" x14ac:dyDescent="0.25">
      <c r="A192" s="1795"/>
      <c r="B192" s="1796" t="s">
        <v>2134</v>
      </c>
      <c r="C192" s="1797" t="s">
        <v>2135</v>
      </c>
      <c r="D192" s="1797">
        <v>1</v>
      </c>
      <c r="E192" s="1797">
        <v>6000</v>
      </c>
      <c r="F192" s="1797">
        <f t="shared" ref="F192" si="19">D192*E192</f>
        <v>6000</v>
      </c>
    </row>
    <row r="193" spans="1:7" ht="13.8" x14ac:dyDescent="0.25">
      <c r="A193" s="1795"/>
      <c r="B193" s="1795"/>
      <c r="C193" s="1796"/>
      <c r="D193" s="1797"/>
      <c r="E193" s="1797"/>
      <c r="F193" s="1797"/>
    </row>
    <row r="194" spans="1:7" ht="13.8" x14ac:dyDescent="0.25">
      <c r="A194" s="1795"/>
      <c r="B194" s="1795"/>
      <c r="C194" s="1796"/>
      <c r="D194" s="1797"/>
      <c r="E194" s="1797"/>
      <c r="F194" s="1797"/>
    </row>
    <row r="195" spans="1:7" ht="13.8" x14ac:dyDescent="0.25">
      <c r="A195" s="1795"/>
      <c r="B195" s="1795"/>
      <c r="C195" s="1796"/>
      <c r="D195" s="1797"/>
      <c r="E195" s="1797"/>
      <c r="F195" s="1797"/>
    </row>
    <row r="196" spans="1:7" ht="13.8" x14ac:dyDescent="0.25">
      <c r="A196" s="2736" t="s">
        <v>2136</v>
      </c>
      <c r="B196" s="2737"/>
      <c r="C196" s="2737"/>
      <c r="D196" s="2737"/>
      <c r="E196" s="2738"/>
      <c r="F196" s="1801">
        <f>SUM(F190:F195)</f>
        <v>111781.25</v>
      </c>
    </row>
    <row r="197" spans="1:7" ht="13.8" x14ac:dyDescent="0.25">
      <c r="A197" s="2736" t="s">
        <v>2137</v>
      </c>
      <c r="B197" s="2737"/>
      <c r="C197" s="2737"/>
      <c r="D197" s="2737"/>
      <c r="E197" s="2738"/>
      <c r="F197" s="1801">
        <f>F196/50</f>
        <v>2235.625</v>
      </c>
    </row>
    <row r="200" spans="1:7" ht="13.8" thickBot="1" x14ac:dyDescent="0.3"/>
    <row r="201" spans="1:7" ht="13.8" x14ac:dyDescent="0.25">
      <c r="A201" s="2717" t="s">
        <v>2138</v>
      </c>
      <c r="B201" s="2718"/>
      <c r="C201" s="2718"/>
      <c r="D201" s="2718"/>
      <c r="E201" s="2718"/>
      <c r="F201" s="2718"/>
      <c r="G201" s="2719"/>
    </row>
    <row r="202" spans="1:7" ht="14.4" thickBot="1" x14ac:dyDescent="0.3">
      <c r="A202" s="2720" t="s">
        <v>2105</v>
      </c>
      <c r="B202" s="2721"/>
      <c r="C202" s="2721"/>
      <c r="D202" s="2721"/>
      <c r="E202" s="2721"/>
      <c r="F202" s="2721"/>
      <c r="G202" s="2722"/>
    </row>
    <row r="203" spans="1:7" ht="14.4" thickBot="1" x14ac:dyDescent="0.3">
      <c r="A203" s="1773"/>
      <c r="B203" s="1774" t="s">
        <v>2094</v>
      </c>
      <c r="C203" s="1774" t="s">
        <v>2095</v>
      </c>
      <c r="D203" s="1774" t="s">
        <v>2</v>
      </c>
      <c r="E203" s="1774" t="s">
        <v>2096</v>
      </c>
      <c r="F203" s="1774" t="s">
        <v>5</v>
      </c>
      <c r="G203" s="1774" t="s">
        <v>2097</v>
      </c>
    </row>
    <row r="204" spans="1:7" ht="13.8" x14ac:dyDescent="0.25">
      <c r="A204" s="1775"/>
      <c r="B204" s="1775"/>
      <c r="C204" s="1776"/>
      <c r="D204" s="1777"/>
      <c r="E204" s="1777"/>
      <c r="F204" s="1777"/>
      <c r="G204" s="1777"/>
    </row>
    <row r="205" spans="1:7" ht="13.8" x14ac:dyDescent="0.25">
      <c r="A205" s="1775"/>
      <c r="B205" s="1778" t="s">
        <v>2111</v>
      </c>
      <c r="C205" s="1776"/>
      <c r="D205" s="1777"/>
      <c r="E205" s="1777"/>
      <c r="F205" s="1777"/>
      <c r="G205" s="1777"/>
    </row>
    <row r="206" spans="1:7" ht="13.8" x14ac:dyDescent="0.25">
      <c r="A206" s="1786"/>
      <c r="B206" s="1786" t="s">
        <v>2132</v>
      </c>
      <c r="C206" s="1761" t="s">
        <v>2074</v>
      </c>
      <c r="D206" s="1761">
        <v>13</v>
      </c>
      <c r="E206" s="1761">
        <f>F197</f>
        <v>2235.625</v>
      </c>
      <c r="F206" s="1761">
        <f>D206*E206</f>
        <v>29063.125</v>
      </c>
      <c r="G206" s="1761"/>
    </row>
    <row r="207" spans="1:7" ht="13.8" x14ac:dyDescent="0.25">
      <c r="A207" s="1786"/>
      <c r="B207" s="1802" t="s">
        <v>1947</v>
      </c>
      <c r="C207" s="1761" t="s">
        <v>131</v>
      </c>
      <c r="D207" s="1761">
        <v>0.53</v>
      </c>
      <c r="E207" s="1761">
        <f>Material!E13</f>
        <v>23500</v>
      </c>
      <c r="F207" s="1761">
        <f t="shared" ref="F207:F212" si="20">D207*E207</f>
        <v>12455</v>
      </c>
      <c r="G207" s="1761"/>
    </row>
    <row r="208" spans="1:7" ht="13.8" x14ac:dyDescent="0.25">
      <c r="A208" s="1786"/>
      <c r="B208" s="1753" t="s">
        <v>2139</v>
      </c>
      <c r="C208" s="1761" t="s">
        <v>131</v>
      </c>
      <c r="D208" s="1761">
        <v>0.92</v>
      </c>
      <c r="E208" s="1761">
        <f>Material!E17</f>
        <v>13500</v>
      </c>
      <c r="F208" s="1761">
        <f t="shared" si="20"/>
        <v>12420</v>
      </c>
      <c r="G208" s="1761"/>
    </row>
    <row r="209" spans="1:7" ht="13.8" x14ac:dyDescent="0.25">
      <c r="A209" s="1775"/>
      <c r="B209" s="1775"/>
      <c r="C209" s="1776"/>
      <c r="D209" s="1777"/>
      <c r="E209" s="1777"/>
      <c r="F209" s="1777">
        <f t="shared" si="20"/>
        <v>0</v>
      </c>
      <c r="G209" s="1777"/>
    </row>
    <row r="210" spans="1:7" ht="13.8" x14ac:dyDescent="0.25">
      <c r="A210" s="1779"/>
      <c r="B210" s="2723" t="s">
        <v>2112</v>
      </c>
      <c r="C210" s="2723"/>
      <c r="D210" s="2723"/>
      <c r="E210" s="2723"/>
      <c r="F210" s="1780">
        <f t="shared" si="20"/>
        <v>0</v>
      </c>
      <c r="G210" s="1781">
        <f>SUM(F205:F210)</f>
        <v>53938.125</v>
      </c>
    </row>
    <row r="211" spans="1:7" ht="13.8" x14ac:dyDescent="0.25">
      <c r="A211" s="1775"/>
      <c r="B211" s="1778" t="s">
        <v>2098</v>
      </c>
      <c r="C211" s="1776"/>
      <c r="D211" s="1777"/>
      <c r="E211" s="1777"/>
      <c r="F211" s="1777">
        <f t="shared" si="20"/>
        <v>0</v>
      </c>
      <c r="G211" s="1777"/>
    </row>
    <row r="212" spans="1:7" ht="13.8" x14ac:dyDescent="0.25">
      <c r="A212" s="1786"/>
      <c r="B212" s="1786" t="s">
        <v>2106</v>
      </c>
      <c r="C212" s="1761" t="s">
        <v>131</v>
      </c>
      <c r="D212" s="1761">
        <v>1</v>
      </c>
      <c r="E212" s="1761">
        <v>15000</v>
      </c>
      <c r="F212" s="1761">
        <f t="shared" si="20"/>
        <v>15000</v>
      </c>
      <c r="G212" s="1761"/>
    </row>
    <row r="213" spans="1:7" ht="13.8" x14ac:dyDescent="0.25">
      <c r="A213" s="1775"/>
      <c r="B213" s="1775"/>
      <c r="C213" s="1776"/>
      <c r="D213" s="1777"/>
      <c r="E213" s="1777"/>
      <c r="F213" s="1777"/>
      <c r="G213" s="1777"/>
    </row>
    <row r="214" spans="1:7" ht="13.8" x14ac:dyDescent="0.25">
      <c r="A214" s="1779"/>
      <c r="B214" s="2723" t="s">
        <v>2100</v>
      </c>
      <c r="C214" s="2723"/>
      <c r="D214" s="2723"/>
      <c r="E214" s="2723"/>
      <c r="F214" s="1780">
        <f t="shared" ref="F214" si="21">D214*E214</f>
        <v>0</v>
      </c>
      <c r="G214" s="1781">
        <f>SUM(F212:F214)</f>
        <v>15000</v>
      </c>
    </row>
    <row r="215" spans="1:7" ht="13.8" x14ac:dyDescent="0.25">
      <c r="A215" s="1775"/>
      <c r="B215" s="1778" t="s">
        <v>2115</v>
      </c>
      <c r="C215" s="1776"/>
      <c r="D215" s="1777"/>
      <c r="E215" s="1777"/>
      <c r="F215" s="1777"/>
      <c r="G215" s="1777"/>
    </row>
    <row r="216" spans="1:7" ht="13.8" x14ac:dyDescent="0.25">
      <c r="A216" s="1775"/>
      <c r="B216" s="1775"/>
      <c r="C216" s="1776"/>
      <c r="D216" s="1777"/>
      <c r="E216" s="1777"/>
      <c r="F216" s="1777"/>
      <c r="G216" s="1777"/>
    </row>
    <row r="217" spans="1:7" ht="13.8" x14ac:dyDescent="0.25">
      <c r="A217" s="1775"/>
      <c r="B217" s="1775" t="s">
        <v>2140</v>
      </c>
      <c r="C217" s="1777" t="s">
        <v>2114</v>
      </c>
      <c r="D217" s="1777">
        <v>0.33</v>
      </c>
      <c r="E217" s="1777">
        <v>5000</v>
      </c>
      <c r="F217" s="1777">
        <f>D217*E217</f>
        <v>1650</v>
      </c>
      <c r="G217" s="1777"/>
    </row>
    <row r="218" spans="1:7" ht="13.8" x14ac:dyDescent="0.25">
      <c r="A218" s="1775"/>
      <c r="B218" s="1775" t="s">
        <v>2141</v>
      </c>
      <c r="C218" s="1777" t="s">
        <v>2114</v>
      </c>
      <c r="D218" s="1777">
        <v>0.33</v>
      </c>
      <c r="E218" s="1777">
        <v>2000</v>
      </c>
      <c r="F218" s="1777">
        <f>D218*E218</f>
        <v>660</v>
      </c>
      <c r="G218" s="1777"/>
    </row>
    <row r="219" spans="1:7" ht="13.8" x14ac:dyDescent="0.25">
      <c r="A219" s="1775"/>
      <c r="B219" s="1775"/>
      <c r="C219" s="1776"/>
      <c r="D219" s="1777"/>
      <c r="E219" s="1777"/>
      <c r="F219" s="1777"/>
      <c r="G219" s="1777"/>
    </row>
    <row r="220" spans="1:7" ht="13.8" x14ac:dyDescent="0.25">
      <c r="A220" s="1779"/>
      <c r="B220" s="2723" t="s">
        <v>2118</v>
      </c>
      <c r="C220" s="2723"/>
      <c r="D220" s="2723"/>
      <c r="E220" s="2723"/>
      <c r="F220" s="1780">
        <f t="shared" ref="F220" si="22">D220*E220</f>
        <v>0</v>
      </c>
      <c r="G220" s="1781">
        <f>SUM(F216:F220)</f>
        <v>2310</v>
      </c>
    </row>
    <row r="221" spans="1:7" ht="13.8" x14ac:dyDescent="0.25">
      <c r="A221" s="1775"/>
      <c r="B221" s="1782"/>
      <c r="C221" s="1782"/>
      <c r="D221" s="1782"/>
      <c r="E221" s="1782"/>
      <c r="F221" s="1777"/>
      <c r="G221" s="1782"/>
    </row>
    <row r="222" spans="1:7" ht="13.8" x14ac:dyDescent="0.25">
      <c r="A222" s="1775"/>
      <c r="B222" s="1782"/>
      <c r="C222" s="1782"/>
      <c r="D222" s="1782"/>
      <c r="E222" s="1782"/>
      <c r="F222" s="1777"/>
      <c r="G222" s="1782"/>
    </row>
    <row r="223" spans="1:7" ht="13.8" x14ac:dyDescent="0.25">
      <c r="A223" s="2716" t="s">
        <v>2107</v>
      </c>
      <c r="B223" s="2716"/>
      <c r="C223" s="2716"/>
      <c r="D223" s="2716"/>
      <c r="E223" s="2716"/>
      <c r="F223" s="2716"/>
      <c r="G223" s="1783">
        <f>G210+G214+G220</f>
        <v>71248.125</v>
      </c>
    </row>
    <row r="224" spans="1:7" ht="16.2" x14ac:dyDescent="0.25">
      <c r="A224" s="2716" t="s">
        <v>2108</v>
      </c>
      <c r="B224" s="2716"/>
      <c r="C224" s="2716"/>
      <c r="D224" s="2716"/>
      <c r="E224" s="2716"/>
      <c r="F224" s="2716"/>
      <c r="G224" s="1783">
        <f>G223/2.83</f>
        <v>25176.015901060069</v>
      </c>
    </row>
    <row r="225" spans="1:7" ht="16.2" x14ac:dyDescent="0.25">
      <c r="A225" s="2716" t="s">
        <v>2325</v>
      </c>
      <c r="B225" s="2716"/>
      <c r="C225" s="2716"/>
      <c r="D225" s="2716"/>
      <c r="E225" s="2716"/>
      <c r="F225" s="2716"/>
      <c r="G225" s="1783">
        <f>+G224*0.05</f>
        <v>1258.8007950530036</v>
      </c>
    </row>
    <row r="226" spans="1:7" ht="13.8" x14ac:dyDescent="0.25">
      <c r="A226" s="1803"/>
      <c r="B226" s="1803"/>
      <c r="C226" s="1803"/>
      <c r="D226" s="1803"/>
      <c r="E226" s="1803"/>
      <c r="F226" s="1792"/>
      <c r="G226" s="1792"/>
    </row>
    <row r="227" spans="1:7" ht="13.8" x14ac:dyDescent="0.25">
      <c r="A227" s="1803"/>
      <c r="B227" s="1803"/>
      <c r="C227" s="1803"/>
      <c r="D227" s="1803"/>
      <c r="E227" s="1803"/>
      <c r="F227" s="1792"/>
      <c r="G227" s="1792"/>
    </row>
    <row r="228" spans="1:7" ht="14.4" thickBot="1" x14ac:dyDescent="0.3">
      <c r="A228" s="1803"/>
      <c r="B228" s="1803"/>
      <c r="C228" s="1803"/>
      <c r="D228" s="1803"/>
      <c r="E228" s="1803"/>
      <c r="F228" s="1792"/>
      <c r="G228" s="1792"/>
    </row>
    <row r="229" spans="1:7" ht="13.8" x14ac:dyDescent="0.25">
      <c r="A229" s="2717" t="s">
        <v>2142</v>
      </c>
      <c r="B229" s="2718"/>
      <c r="C229" s="2718"/>
      <c r="D229" s="2718"/>
      <c r="E229" s="2718"/>
      <c r="F229" s="2718"/>
      <c r="G229" s="2719"/>
    </row>
    <row r="230" spans="1:7" ht="14.4" thickBot="1" x14ac:dyDescent="0.3">
      <c r="A230" s="2720" t="s">
        <v>2105</v>
      </c>
      <c r="B230" s="2721"/>
      <c r="C230" s="2721"/>
      <c r="D230" s="2721"/>
      <c r="E230" s="2721"/>
      <c r="F230" s="2721"/>
      <c r="G230" s="2722"/>
    </row>
    <row r="231" spans="1:7" ht="14.4" thickBot="1" x14ac:dyDescent="0.3">
      <c r="A231" s="1773"/>
      <c r="B231" s="1774" t="s">
        <v>2094</v>
      </c>
      <c r="C231" s="1774" t="s">
        <v>2095</v>
      </c>
      <c r="D231" s="1774" t="s">
        <v>2</v>
      </c>
      <c r="E231" s="1774" t="s">
        <v>2096</v>
      </c>
      <c r="F231" s="1774" t="s">
        <v>5</v>
      </c>
      <c r="G231" s="1774" t="s">
        <v>2097</v>
      </c>
    </row>
    <row r="232" spans="1:7" ht="13.8" x14ac:dyDescent="0.25">
      <c r="A232" s="1775"/>
      <c r="B232" s="1775"/>
      <c r="C232" s="1776"/>
      <c r="D232" s="1777"/>
      <c r="E232" s="1777"/>
      <c r="F232" s="1777"/>
      <c r="G232" s="1777"/>
    </row>
    <row r="233" spans="1:7" ht="13.8" x14ac:dyDescent="0.25">
      <c r="A233" s="1775"/>
      <c r="B233" s="1778" t="s">
        <v>2111</v>
      </c>
      <c r="C233" s="1776"/>
      <c r="D233" s="1777"/>
      <c r="E233" s="1777"/>
      <c r="F233" s="1777"/>
      <c r="G233" s="1777"/>
    </row>
    <row r="234" spans="1:7" ht="13.8" x14ac:dyDescent="0.25">
      <c r="A234" s="1786"/>
      <c r="B234" s="1786" t="s">
        <v>2132</v>
      </c>
      <c r="C234" s="1761" t="s">
        <v>2074</v>
      </c>
      <c r="D234" s="1761">
        <v>18</v>
      </c>
      <c r="E234" s="1761">
        <f>F197</f>
        <v>2235.625</v>
      </c>
      <c r="F234" s="1761">
        <f>D234*E234</f>
        <v>40241.25</v>
      </c>
      <c r="G234" s="1761"/>
    </row>
    <row r="235" spans="1:7" ht="13.8" x14ac:dyDescent="0.25">
      <c r="A235" s="1786"/>
      <c r="B235" s="1802" t="s">
        <v>1947</v>
      </c>
      <c r="C235" s="1761" t="s">
        <v>131</v>
      </c>
      <c r="D235" s="1761">
        <v>0.5</v>
      </c>
      <c r="E235" s="1761">
        <f>Material!E13</f>
        <v>23500</v>
      </c>
      <c r="F235" s="1761">
        <f t="shared" ref="F235:F236" si="23">D235*E235</f>
        <v>11750</v>
      </c>
      <c r="G235" s="1761"/>
    </row>
    <row r="236" spans="1:7" ht="13.8" x14ac:dyDescent="0.25">
      <c r="A236" s="1786"/>
      <c r="B236" s="1753" t="s">
        <v>2139</v>
      </c>
      <c r="C236" s="1761" t="s">
        <v>131</v>
      </c>
      <c r="D236" s="1761">
        <v>0.88</v>
      </c>
      <c r="E236" s="1761">
        <f>Material!E17</f>
        <v>13500</v>
      </c>
      <c r="F236" s="1761">
        <f t="shared" si="23"/>
        <v>11880</v>
      </c>
      <c r="G236" s="1761"/>
    </row>
    <row r="237" spans="1:7" ht="13.8" x14ac:dyDescent="0.25">
      <c r="A237" s="1775"/>
      <c r="B237" s="1775"/>
      <c r="C237" s="1776"/>
      <c r="D237" s="1777"/>
      <c r="E237" s="1777"/>
      <c r="F237" s="1789"/>
      <c r="G237" s="1777"/>
    </row>
    <row r="238" spans="1:7" ht="13.8" x14ac:dyDescent="0.25">
      <c r="A238" s="1779"/>
      <c r="B238" s="2723" t="s">
        <v>2112</v>
      </c>
      <c r="C238" s="2723"/>
      <c r="D238" s="2723"/>
      <c r="E238" s="2723"/>
      <c r="F238" s="1780"/>
      <c r="G238" s="1781">
        <f>SUM(F233:F238)</f>
        <v>63871.25</v>
      </c>
    </row>
    <row r="239" spans="1:7" ht="13.8" x14ac:dyDescent="0.25">
      <c r="A239" s="1775"/>
      <c r="B239" s="1778" t="s">
        <v>2098</v>
      </c>
      <c r="C239" s="1776"/>
      <c r="D239" s="1777"/>
      <c r="E239" s="1777"/>
      <c r="F239" s="1777"/>
      <c r="G239" s="1777"/>
    </row>
    <row r="240" spans="1:7" ht="13.8" x14ac:dyDescent="0.25">
      <c r="A240" s="1786"/>
      <c r="B240" s="1786" t="s">
        <v>2106</v>
      </c>
      <c r="C240" s="1761" t="s">
        <v>131</v>
      </c>
      <c r="D240" s="1761">
        <v>1</v>
      </c>
      <c r="E240" s="1761">
        <v>18000</v>
      </c>
      <c r="F240" s="1761">
        <f t="shared" ref="F240" si="24">D240*E240</f>
        <v>18000</v>
      </c>
      <c r="G240" s="1761"/>
    </row>
    <row r="241" spans="1:7" ht="13.8" x14ac:dyDescent="0.25">
      <c r="A241" s="1775"/>
      <c r="B241" s="1775"/>
      <c r="C241" s="1776"/>
      <c r="D241" s="1777"/>
      <c r="E241" s="1777"/>
      <c r="F241" s="1777"/>
      <c r="G241" s="1777"/>
    </row>
    <row r="242" spans="1:7" ht="13.8" x14ac:dyDescent="0.25">
      <c r="A242" s="1779"/>
      <c r="B242" s="2723" t="s">
        <v>2100</v>
      </c>
      <c r="C242" s="2723"/>
      <c r="D242" s="2723"/>
      <c r="E242" s="2723"/>
      <c r="F242" s="1780"/>
      <c r="G242" s="1781">
        <f>SUM(F240:F242)</f>
        <v>18000</v>
      </c>
    </row>
    <row r="243" spans="1:7" ht="13.8" x14ac:dyDescent="0.25">
      <c r="A243" s="1775"/>
      <c r="B243" s="1778" t="s">
        <v>2115</v>
      </c>
      <c r="C243" s="1776"/>
      <c r="D243" s="1777"/>
      <c r="E243" s="1777"/>
      <c r="F243" s="1777"/>
      <c r="G243" s="1777"/>
    </row>
    <row r="244" spans="1:7" ht="13.8" x14ac:dyDescent="0.25">
      <c r="A244" s="1775"/>
      <c r="B244" s="1775"/>
      <c r="C244" s="1776"/>
      <c r="D244" s="1777"/>
      <c r="E244" s="1777"/>
      <c r="F244" s="1777"/>
      <c r="G244" s="1777"/>
    </row>
    <row r="245" spans="1:7" ht="13.8" x14ac:dyDescent="0.25">
      <c r="A245" s="1775"/>
      <c r="B245" s="1775" t="s">
        <v>2140</v>
      </c>
      <c r="C245" s="1777" t="s">
        <v>2114</v>
      </c>
      <c r="D245" s="1777">
        <v>0.33</v>
      </c>
      <c r="E245" s="1777">
        <v>5000</v>
      </c>
      <c r="F245" s="1777">
        <f>D245*E245</f>
        <v>1650</v>
      </c>
      <c r="G245" s="1777"/>
    </row>
    <row r="246" spans="1:7" ht="13.8" x14ac:dyDescent="0.25">
      <c r="A246" s="1775"/>
      <c r="B246" s="1775" t="s">
        <v>2141</v>
      </c>
      <c r="C246" s="1777" t="s">
        <v>2114</v>
      </c>
      <c r="D246" s="1777">
        <v>0.33</v>
      </c>
      <c r="E246" s="1777">
        <v>2000</v>
      </c>
      <c r="F246" s="1777">
        <f>D246*E246</f>
        <v>660</v>
      </c>
      <c r="G246" s="1777"/>
    </row>
    <row r="247" spans="1:7" ht="13.8" x14ac:dyDescent="0.25">
      <c r="A247" s="1775"/>
      <c r="B247" s="1775"/>
      <c r="C247" s="1776"/>
      <c r="D247" s="1777"/>
      <c r="E247" s="1777"/>
      <c r="F247" s="1777"/>
      <c r="G247" s="1777"/>
    </row>
    <row r="248" spans="1:7" ht="13.8" x14ac:dyDescent="0.25">
      <c r="A248" s="1779"/>
      <c r="B248" s="2723" t="s">
        <v>2118</v>
      </c>
      <c r="C248" s="2723"/>
      <c r="D248" s="2723"/>
      <c r="E248" s="2723"/>
      <c r="F248" s="1780"/>
      <c r="G248" s="1781">
        <f>SUM(F244:F248)</f>
        <v>2310</v>
      </c>
    </row>
    <row r="249" spans="1:7" ht="13.8" x14ac:dyDescent="0.25">
      <c r="A249" s="1775"/>
      <c r="B249" s="1782"/>
      <c r="C249" s="1782"/>
      <c r="D249" s="1782"/>
      <c r="E249" s="1782"/>
      <c r="F249" s="1777"/>
      <c r="G249" s="1782"/>
    </row>
    <row r="250" spans="1:7" ht="13.8" x14ac:dyDescent="0.25">
      <c r="A250" s="1775"/>
      <c r="B250" s="1782"/>
      <c r="C250" s="1782"/>
      <c r="D250" s="1782"/>
      <c r="E250" s="1782"/>
      <c r="F250" s="1777"/>
      <c r="G250" s="1782"/>
    </row>
    <row r="251" spans="1:7" ht="13.8" x14ac:dyDescent="0.25">
      <c r="A251" s="2744" t="s">
        <v>2143</v>
      </c>
      <c r="B251" s="2745"/>
      <c r="C251" s="2745"/>
      <c r="D251" s="2745"/>
      <c r="E251" s="2745"/>
      <c r="F251" s="2745"/>
      <c r="G251" s="1804">
        <f>G238+G242+G248</f>
        <v>84181.25</v>
      </c>
    </row>
    <row r="252" spans="1:7" ht="16.2" x14ac:dyDescent="0.25">
      <c r="A252" s="2744" t="s">
        <v>2108</v>
      </c>
      <c r="B252" s="2745"/>
      <c r="C252" s="2745"/>
      <c r="D252" s="2745"/>
      <c r="E252" s="2745"/>
      <c r="F252" s="2745"/>
      <c r="G252" s="1804">
        <f>G251/2.83</f>
        <v>29746.024734982333</v>
      </c>
    </row>
    <row r="253" spans="1:7" ht="13.8" x14ac:dyDescent="0.25">
      <c r="A253" s="2744" t="s">
        <v>2144</v>
      </c>
      <c r="B253" s="2745"/>
      <c r="C253" s="2745"/>
      <c r="D253" s="2745"/>
      <c r="E253" s="2745"/>
      <c r="F253" s="2745"/>
      <c r="G253" s="1804">
        <f>G251*1.03</f>
        <v>86706.6875</v>
      </c>
    </row>
    <row r="254" spans="1:7" ht="14.4" thickBot="1" x14ac:dyDescent="0.3">
      <c r="A254" s="2742" t="s">
        <v>2145</v>
      </c>
      <c r="B254" s="2743"/>
      <c r="C254" s="2743"/>
      <c r="D254" s="2743"/>
      <c r="E254" s="2743"/>
      <c r="F254" s="2743"/>
      <c r="G254" s="1805">
        <f>G251*1.05</f>
        <v>88390.3125</v>
      </c>
    </row>
    <row r="255" spans="1:7" ht="13.8" x14ac:dyDescent="0.25">
      <c r="A255" s="1803"/>
      <c r="B255" s="1803"/>
      <c r="C255" s="1803"/>
      <c r="D255" s="1803"/>
      <c r="E255" s="1803"/>
      <c r="F255" s="1792"/>
      <c r="G255" s="1792"/>
    </row>
    <row r="256" spans="1:7" ht="13.8" x14ac:dyDescent="0.25">
      <c r="A256" s="1803"/>
      <c r="B256" s="1803"/>
      <c r="C256" s="1803"/>
      <c r="D256" s="1803"/>
      <c r="E256" s="1803"/>
      <c r="F256" s="1792"/>
      <c r="G256" s="1792"/>
    </row>
    <row r="257" spans="1:7" ht="13.8" x14ac:dyDescent="0.25">
      <c r="A257" s="1803"/>
      <c r="B257" s="1803"/>
      <c r="C257" s="1803"/>
      <c r="D257" s="1803"/>
      <c r="E257" s="1803"/>
      <c r="F257" s="1792"/>
      <c r="G257" s="1792"/>
    </row>
    <row r="258" spans="1:7" ht="14.4" thickBot="1" x14ac:dyDescent="0.3">
      <c r="A258" s="1806"/>
      <c r="B258" s="1806"/>
      <c r="C258" s="1806"/>
      <c r="D258" s="1806"/>
      <c r="E258" s="1806"/>
      <c r="F258" s="1807"/>
      <c r="G258" s="1807"/>
    </row>
    <row r="259" spans="1:7" ht="13.8" x14ac:dyDescent="0.25">
      <c r="A259" s="2717" t="s">
        <v>2146</v>
      </c>
      <c r="B259" s="2718"/>
      <c r="C259" s="2718"/>
      <c r="D259" s="2718"/>
      <c r="E259" s="2718"/>
      <c r="F259" s="2718"/>
      <c r="G259" s="2719"/>
    </row>
    <row r="260" spans="1:7" ht="14.4" thickBot="1" x14ac:dyDescent="0.3">
      <c r="A260" s="2720" t="s">
        <v>2105</v>
      </c>
      <c r="B260" s="2721"/>
      <c r="C260" s="2721"/>
      <c r="D260" s="2721"/>
      <c r="E260" s="2721"/>
      <c r="F260" s="2721"/>
      <c r="G260" s="2722"/>
    </row>
    <row r="261" spans="1:7" ht="14.4" thickBot="1" x14ac:dyDescent="0.3">
      <c r="A261" s="1773"/>
      <c r="B261" s="1774" t="s">
        <v>2094</v>
      </c>
      <c r="C261" s="1774" t="s">
        <v>2095</v>
      </c>
      <c r="D261" s="1774" t="s">
        <v>2</v>
      </c>
      <c r="E261" s="1774" t="s">
        <v>2096</v>
      </c>
      <c r="F261" s="1774" t="s">
        <v>5</v>
      </c>
      <c r="G261" s="1774" t="s">
        <v>2097</v>
      </c>
    </row>
    <row r="262" spans="1:7" ht="13.8" x14ac:dyDescent="0.25">
      <c r="A262" s="1775"/>
      <c r="B262" s="1775"/>
      <c r="C262" s="1776"/>
      <c r="D262" s="1777"/>
      <c r="E262" s="1777"/>
      <c r="F262" s="1777"/>
      <c r="G262" s="1777"/>
    </row>
    <row r="263" spans="1:7" ht="13.8" x14ac:dyDescent="0.25">
      <c r="A263" s="1775"/>
      <c r="B263" s="1778" t="s">
        <v>2111</v>
      </c>
      <c r="C263" s="1776"/>
      <c r="D263" s="1777"/>
      <c r="E263" s="1777"/>
      <c r="F263" s="1777"/>
      <c r="G263" s="1777"/>
    </row>
    <row r="264" spans="1:7" ht="13.8" x14ac:dyDescent="0.25">
      <c r="A264" s="1786"/>
      <c r="B264" s="1786" t="s">
        <v>2132</v>
      </c>
      <c r="C264" s="1761" t="s">
        <v>2074</v>
      </c>
      <c r="D264" s="1761">
        <v>23</v>
      </c>
      <c r="E264" s="1761">
        <f>F197</f>
        <v>2235.625</v>
      </c>
      <c r="F264" s="1761">
        <f>D264*E264</f>
        <v>51419.375</v>
      </c>
      <c r="G264" s="1761"/>
    </row>
    <row r="265" spans="1:7" ht="13.8" x14ac:dyDescent="0.25">
      <c r="A265" s="1786"/>
      <c r="B265" s="1802" t="s">
        <v>1947</v>
      </c>
      <c r="C265" s="1761" t="s">
        <v>131</v>
      </c>
      <c r="D265" s="1761">
        <v>0.42</v>
      </c>
      <c r="E265" s="1761">
        <f>Material!E13</f>
        <v>23500</v>
      </c>
      <c r="F265" s="1761">
        <f t="shared" ref="F265:F270" si="25">D265*E265</f>
        <v>9870</v>
      </c>
      <c r="G265" s="1761"/>
    </row>
    <row r="266" spans="1:7" ht="13.8" x14ac:dyDescent="0.25">
      <c r="A266" s="1786"/>
      <c r="B266" s="1753" t="s">
        <v>2147</v>
      </c>
      <c r="C266" s="1761" t="s">
        <v>131</v>
      </c>
      <c r="D266" s="1761">
        <v>0.82</v>
      </c>
      <c r="E266" s="1761">
        <f>Material!E17</f>
        <v>13500</v>
      </c>
      <c r="F266" s="1761">
        <f t="shared" si="25"/>
        <v>11070</v>
      </c>
      <c r="G266" s="1761"/>
    </row>
    <row r="267" spans="1:7" ht="13.8" x14ac:dyDescent="0.25">
      <c r="A267" s="1775"/>
      <c r="B267" s="1775"/>
      <c r="C267" s="1776"/>
      <c r="D267" s="1777"/>
      <c r="E267" s="1777"/>
      <c r="F267" s="1777">
        <f t="shared" si="25"/>
        <v>0</v>
      </c>
      <c r="G267" s="1777"/>
    </row>
    <row r="268" spans="1:7" ht="13.8" x14ac:dyDescent="0.25">
      <c r="A268" s="1779"/>
      <c r="B268" s="2723" t="s">
        <v>2112</v>
      </c>
      <c r="C268" s="2723"/>
      <c r="D268" s="2723"/>
      <c r="E268" s="2723"/>
      <c r="F268" s="1780">
        <f t="shared" si="25"/>
        <v>0</v>
      </c>
      <c r="G268" s="1781">
        <f>SUM(F263:F268)</f>
        <v>72359.375</v>
      </c>
    </row>
    <row r="269" spans="1:7" ht="13.8" x14ac:dyDescent="0.25">
      <c r="A269" s="1775"/>
      <c r="B269" s="1778" t="s">
        <v>2098</v>
      </c>
      <c r="C269" s="1776"/>
      <c r="D269" s="1777"/>
      <c r="E269" s="1777"/>
      <c r="F269" s="1777">
        <f t="shared" si="25"/>
        <v>0</v>
      </c>
      <c r="G269" s="1777"/>
    </row>
    <row r="270" spans="1:7" ht="13.8" x14ac:dyDescent="0.25">
      <c r="A270" s="1786"/>
      <c r="B270" s="1786" t="s">
        <v>2106</v>
      </c>
      <c r="C270" s="1761" t="s">
        <v>131</v>
      </c>
      <c r="D270" s="1761">
        <v>1</v>
      </c>
      <c r="E270" s="1761">
        <v>18000</v>
      </c>
      <c r="F270" s="1761">
        <f t="shared" si="25"/>
        <v>18000</v>
      </c>
      <c r="G270" s="1761"/>
    </row>
    <row r="271" spans="1:7" ht="13.8" x14ac:dyDescent="0.25">
      <c r="A271" s="1775"/>
      <c r="B271" s="1775"/>
      <c r="C271" s="1776"/>
      <c r="D271" s="1777"/>
      <c r="E271" s="1777"/>
      <c r="F271" s="1777"/>
      <c r="G271" s="1777"/>
    </row>
    <row r="272" spans="1:7" ht="13.8" x14ac:dyDescent="0.25">
      <c r="A272" s="1779"/>
      <c r="B272" s="2723" t="s">
        <v>2100</v>
      </c>
      <c r="C272" s="2723"/>
      <c r="D272" s="2723"/>
      <c r="E272" s="2723"/>
      <c r="F272" s="1780">
        <f t="shared" ref="F272" si="26">D272*E272</f>
        <v>0</v>
      </c>
      <c r="G272" s="1781">
        <f>SUM(F270:F272)</f>
        <v>18000</v>
      </c>
    </row>
    <row r="273" spans="1:7" ht="13.8" x14ac:dyDescent="0.25">
      <c r="A273" s="1775"/>
      <c r="B273" s="1778" t="s">
        <v>2115</v>
      </c>
      <c r="C273" s="1776"/>
      <c r="D273" s="1777"/>
      <c r="E273" s="1777"/>
      <c r="F273" s="1777"/>
      <c r="G273" s="1777"/>
    </row>
    <row r="274" spans="1:7" ht="13.8" x14ac:dyDescent="0.25">
      <c r="A274" s="1775"/>
      <c r="B274" s="1775"/>
      <c r="C274" s="1776"/>
      <c r="D274" s="1777"/>
      <c r="E274" s="1777"/>
      <c r="F274" s="1777"/>
      <c r="G274" s="1777"/>
    </row>
    <row r="275" spans="1:7" ht="13.8" x14ac:dyDescent="0.25">
      <c r="A275" s="1775"/>
      <c r="B275" s="1775" t="s">
        <v>2140</v>
      </c>
      <c r="C275" s="1777" t="s">
        <v>2114</v>
      </c>
      <c r="D275" s="1777">
        <v>0.33</v>
      </c>
      <c r="E275" s="1777">
        <v>5000</v>
      </c>
      <c r="F275" s="1777">
        <f>D275*E275</f>
        <v>1650</v>
      </c>
      <c r="G275" s="1777"/>
    </row>
    <row r="276" spans="1:7" ht="13.8" x14ac:dyDescent="0.25">
      <c r="A276" s="1775"/>
      <c r="B276" s="1775" t="s">
        <v>2141</v>
      </c>
      <c r="C276" s="1777" t="s">
        <v>2114</v>
      </c>
      <c r="D276" s="1777">
        <v>0.33</v>
      </c>
      <c r="E276" s="1777">
        <v>2000</v>
      </c>
      <c r="F276" s="1777">
        <f>D276*E276</f>
        <v>660</v>
      </c>
      <c r="G276" s="1777"/>
    </row>
    <row r="277" spans="1:7" ht="13.8" x14ac:dyDescent="0.25">
      <c r="A277" s="1775"/>
      <c r="B277" s="1775"/>
      <c r="C277" s="1776"/>
      <c r="D277" s="1777"/>
      <c r="E277" s="1777"/>
      <c r="F277" s="1777"/>
      <c r="G277" s="1777"/>
    </row>
    <row r="278" spans="1:7" ht="13.8" x14ac:dyDescent="0.25">
      <c r="A278" s="1779"/>
      <c r="B278" s="2723" t="s">
        <v>2118</v>
      </c>
      <c r="C278" s="2723"/>
      <c r="D278" s="2723"/>
      <c r="E278" s="2723"/>
      <c r="F278" s="1780">
        <f t="shared" ref="F278" si="27">D278*E278</f>
        <v>0</v>
      </c>
      <c r="G278" s="1781">
        <f>SUM(F274:F278)</f>
        <v>2310</v>
      </c>
    </row>
    <row r="279" spans="1:7" ht="13.8" x14ac:dyDescent="0.25">
      <c r="A279" s="1775"/>
      <c r="B279" s="1782"/>
      <c r="C279" s="1782"/>
      <c r="D279" s="1782"/>
      <c r="E279" s="1782"/>
      <c r="F279" s="1777"/>
      <c r="G279" s="1782"/>
    </row>
    <row r="280" spans="1:7" ht="13.8" x14ac:dyDescent="0.25">
      <c r="A280" s="1775"/>
      <c r="B280" s="1782"/>
      <c r="C280" s="1782"/>
      <c r="D280" s="1782"/>
      <c r="E280" s="1782"/>
      <c r="F280" s="1777"/>
      <c r="G280" s="1782"/>
    </row>
    <row r="281" spans="1:7" ht="13.8" x14ac:dyDescent="0.25">
      <c r="A281" s="2716" t="s">
        <v>2107</v>
      </c>
      <c r="B281" s="2716"/>
      <c r="C281" s="2716"/>
      <c r="D281" s="2716"/>
      <c r="E281" s="2716"/>
      <c r="F281" s="2716"/>
      <c r="G281" s="1783">
        <f>G268+G272+G278</f>
        <v>92669.375</v>
      </c>
    </row>
    <row r="282" spans="1:7" ht="16.2" x14ac:dyDescent="0.25">
      <c r="A282" s="2716" t="s">
        <v>2108</v>
      </c>
      <c r="B282" s="2716"/>
      <c r="C282" s="2716"/>
      <c r="D282" s="2716"/>
      <c r="E282" s="2716"/>
      <c r="F282" s="2716"/>
      <c r="G282" s="1783">
        <f>G281/2.83</f>
        <v>32745.362190812721</v>
      </c>
    </row>
    <row r="283" spans="1:7" ht="14.4" thickBot="1" x14ac:dyDescent="0.3">
      <c r="A283" s="2741"/>
      <c r="B283" s="2741"/>
      <c r="C283" s="2741"/>
      <c r="D283" s="2741"/>
      <c r="E283" s="2741"/>
      <c r="F283" s="2741"/>
      <c r="G283" s="1808"/>
    </row>
    <row r="286" spans="1:7" ht="13.8" thickBot="1" x14ac:dyDescent="0.3"/>
    <row r="287" spans="1:7" ht="13.8" x14ac:dyDescent="0.25">
      <c r="A287" s="2717" t="s">
        <v>2148</v>
      </c>
      <c r="B287" s="2718"/>
      <c r="C287" s="2718"/>
      <c r="D287" s="2718"/>
      <c r="E287" s="2718"/>
      <c r="F287" s="2718"/>
      <c r="G287" s="2719"/>
    </row>
    <row r="288" spans="1:7" ht="14.4" thickBot="1" x14ac:dyDescent="0.3">
      <c r="A288" s="2720" t="s">
        <v>2093</v>
      </c>
      <c r="B288" s="2721"/>
      <c r="C288" s="2721"/>
      <c r="D288" s="2721"/>
      <c r="E288" s="2721"/>
      <c r="F288" s="2721"/>
      <c r="G288" s="2722"/>
    </row>
    <row r="289" spans="1:7" ht="14.4" thickBot="1" x14ac:dyDescent="0.3">
      <c r="A289" s="1773"/>
      <c r="B289" s="1774" t="s">
        <v>2094</v>
      </c>
      <c r="C289" s="1774" t="s">
        <v>2095</v>
      </c>
      <c r="D289" s="1774" t="s">
        <v>2</v>
      </c>
      <c r="E289" s="1774" t="s">
        <v>2096</v>
      </c>
      <c r="F289" s="1774" t="s">
        <v>5</v>
      </c>
      <c r="G289" s="1774" t="s">
        <v>2097</v>
      </c>
    </row>
    <row r="290" spans="1:7" ht="13.8" x14ac:dyDescent="0.25">
      <c r="A290" s="1775"/>
      <c r="B290" s="1775"/>
      <c r="C290" s="1776"/>
      <c r="D290" s="1777"/>
      <c r="E290" s="1777"/>
      <c r="F290" s="1777"/>
      <c r="G290" s="1777"/>
    </row>
    <row r="291" spans="1:7" ht="13.8" x14ac:dyDescent="0.25">
      <c r="A291" s="1775"/>
      <c r="B291" s="1778"/>
      <c r="C291" s="1776"/>
      <c r="D291" s="1777"/>
      <c r="E291" s="1777"/>
      <c r="F291" s="1777"/>
      <c r="G291" s="1777"/>
    </row>
    <row r="292" spans="1:7" ht="13.8" x14ac:dyDescent="0.25">
      <c r="A292" s="1775"/>
      <c r="B292" s="1775" t="s">
        <v>2149</v>
      </c>
      <c r="C292" s="1777" t="s">
        <v>131</v>
      </c>
      <c r="D292" s="1777">
        <v>0.17</v>
      </c>
      <c r="E292" s="1777">
        <f>G210</f>
        <v>53938.125</v>
      </c>
      <c r="F292" s="1777">
        <f>D292*E292</f>
        <v>9169.4812500000007</v>
      </c>
      <c r="G292" s="1777"/>
    </row>
    <row r="293" spans="1:7" ht="13.8" x14ac:dyDescent="0.25">
      <c r="A293" s="1775"/>
      <c r="B293" s="1775"/>
      <c r="C293" s="1777"/>
      <c r="D293" s="1777"/>
      <c r="E293" s="1777"/>
      <c r="F293" s="1777"/>
      <c r="G293" s="1777"/>
    </row>
    <row r="294" spans="1:7" ht="13.8" x14ac:dyDescent="0.25">
      <c r="A294" s="1775"/>
      <c r="B294" s="1790" t="s">
        <v>2150</v>
      </c>
      <c r="C294" s="1777"/>
      <c r="D294" s="1777"/>
      <c r="E294" s="1777"/>
      <c r="F294" s="1777">
        <f>F292*10%</f>
        <v>916.94812500000012</v>
      </c>
      <c r="G294" s="1777"/>
    </row>
    <row r="295" spans="1:7" ht="13.8" x14ac:dyDescent="0.25">
      <c r="A295" s="1775"/>
      <c r="B295" s="1776"/>
      <c r="C295" s="1777"/>
      <c r="D295" s="1777"/>
      <c r="E295" s="1777"/>
      <c r="F295" s="1777"/>
      <c r="G295" s="1777"/>
    </row>
    <row r="296" spans="1:7" ht="13.8" x14ac:dyDescent="0.25">
      <c r="A296" s="1775"/>
      <c r="B296" s="1775"/>
      <c r="C296" s="1776"/>
      <c r="D296" s="1777"/>
      <c r="E296" s="1777"/>
      <c r="F296" s="1777"/>
      <c r="G296" s="1777"/>
    </row>
    <row r="297" spans="1:7" ht="13.8" x14ac:dyDescent="0.25">
      <c r="A297" s="1779"/>
      <c r="B297" s="2723" t="s">
        <v>2112</v>
      </c>
      <c r="C297" s="2723"/>
      <c r="D297" s="2723"/>
      <c r="E297" s="2723"/>
      <c r="F297" s="1780">
        <f t="shared" ref="F297:F299" si="28">D297*E297</f>
        <v>0</v>
      </c>
      <c r="G297" s="1781">
        <f>SUM(F291:F297)</f>
        <v>10086.429375000002</v>
      </c>
    </row>
    <row r="298" spans="1:7" ht="13.8" x14ac:dyDescent="0.25">
      <c r="A298" s="1775"/>
      <c r="B298" s="1778" t="s">
        <v>2098</v>
      </c>
      <c r="C298" s="1776"/>
      <c r="D298" s="1777"/>
      <c r="E298" s="1777"/>
      <c r="F298" s="1777"/>
      <c r="G298" s="1777"/>
    </row>
    <row r="299" spans="1:7" ht="13.8" x14ac:dyDescent="0.25">
      <c r="A299" s="1786"/>
      <c r="B299" s="1786" t="s">
        <v>2151</v>
      </c>
      <c r="C299" s="1761" t="s">
        <v>346</v>
      </c>
      <c r="D299" s="1761">
        <v>100</v>
      </c>
      <c r="E299" s="1761">
        <v>50</v>
      </c>
      <c r="F299" s="1761">
        <f t="shared" si="28"/>
        <v>5000</v>
      </c>
      <c r="G299" s="1761"/>
    </row>
    <row r="300" spans="1:7" ht="13.8" x14ac:dyDescent="0.25">
      <c r="A300" s="1775"/>
      <c r="B300" s="1775"/>
      <c r="C300" s="1776"/>
      <c r="D300" s="1777"/>
      <c r="E300" s="1777"/>
      <c r="F300" s="1777"/>
      <c r="G300" s="1777"/>
    </row>
    <row r="301" spans="1:7" ht="13.8" x14ac:dyDescent="0.25">
      <c r="A301" s="1779"/>
      <c r="B301" s="2723" t="s">
        <v>2100</v>
      </c>
      <c r="C301" s="2723"/>
      <c r="D301" s="2723"/>
      <c r="E301" s="2723"/>
      <c r="F301" s="1780">
        <f t="shared" ref="F301" si="29">D301*E301</f>
        <v>0</v>
      </c>
      <c r="G301" s="1781">
        <f>SUM(F299:F301)</f>
        <v>5000</v>
      </c>
    </row>
    <row r="302" spans="1:7" ht="13.8" x14ac:dyDescent="0.25">
      <c r="A302" s="1775"/>
      <c r="B302" s="1778" t="s">
        <v>2115</v>
      </c>
      <c r="C302" s="1776"/>
      <c r="D302" s="1777"/>
      <c r="E302" s="1777"/>
      <c r="F302" s="1777"/>
      <c r="G302" s="1777"/>
    </row>
    <row r="303" spans="1:7" ht="13.8" x14ac:dyDescent="0.25">
      <c r="A303" s="1775"/>
      <c r="B303" s="1775"/>
      <c r="C303" s="1776"/>
      <c r="D303" s="1777"/>
      <c r="E303" s="1777"/>
      <c r="F303" s="1777"/>
      <c r="G303" s="1777"/>
    </row>
    <row r="304" spans="1:7" ht="13.8" x14ac:dyDescent="0.25">
      <c r="A304" s="1775"/>
      <c r="B304" s="1775" t="s">
        <v>2140</v>
      </c>
      <c r="C304" s="1777" t="s">
        <v>2114</v>
      </c>
      <c r="D304" s="1777">
        <v>0.06</v>
      </c>
      <c r="E304" s="1777">
        <v>5000</v>
      </c>
      <c r="F304" s="1777">
        <f>D304*E304</f>
        <v>300</v>
      </c>
      <c r="G304" s="1777"/>
    </row>
    <row r="305" spans="1:29" ht="13.8" x14ac:dyDescent="0.25">
      <c r="A305" s="1775"/>
      <c r="B305" s="1775"/>
      <c r="C305" s="1777"/>
      <c r="D305" s="1777"/>
      <c r="E305" s="1777"/>
      <c r="F305" s="1777"/>
      <c r="G305" s="1777"/>
    </row>
    <row r="306" spans="1:29" ht="13.8" x14ac:dyDescent="0.25">
      <c r="A306" s="1775"/>
      <c r="B306" s="1775"/>
      <c r="C306" s="1776"/>
      <c r="D306" s="1777"/>
      <c r="E306" s="1777"/>
      <c r="F306" s="1777"/>
      <c r="G306" s="1777"/>
    </row>
    <row r="307" spans="1:29" ht="13.8" x14ac:dyDescent="0.25">
      <c r="A307" s="1779"/>
      <c r="B307" s="2723" t="s">
        <v>2118</v>
      </c>
      <c r="C307" s="2723"/>
      <c r="D307" s="2723"/>
      <c r="E307" s="2723"/>
      <c r="F307" s="1780">
        <f t="shared" ref="F307" si="30">D307*E307</f>
        <v>0</v>
      </c>
      <c r="G307" s="1781">
        <f>SUM(F303:F307)</f>
        <v>300</v>
      </c>
    </row>
    <row r="308" spans="1:29" ht="13.8" x14ac:dyDescent="0.25">
      <c r="A308" s="1775"/>
      <c r="B308" s="1782"/>
      <c r="C308" s="1782"/>
      <c r="D308" s="1782"/>
      <c r="E308" s="1782"/>
      <c r="F308" s="1777"/>
      <c r="G308" s="1782"/>
    </row>
    <row r="309" spans="1:29" ht="13.8" x14ac:dyDescent="0.25">
      <c r="A309" s="1775"/>
      <c r="B309" s="1782"/>
      <c r="C309" s="1782"/>
      <c r="D309" s="1782"/>
      <c r="E309" s="1782"/>
      <c r="F309" s="1777"/>
      <c r="G309" s="1782"/>
    </row>
    <row r="310" spans="1:29" s="1809" customFormat="1" ht="13.8" x14ac:dyDescent="0.25">
      <c r="A310" s="2716" t="s">
        <v>2127</v>
      </c>
      <c r="B310" s="2716"/>
      <c r="C310" s="2716"/>
      <c r="D310" s="2716"/>
      <c r="E310" s="2716"/>
      <c r="F310" s="2716"/>
      <c r="G310" s="1783">
        <f>G297+G301+G307</f>
        <v>15386.429375000002</v>
      </c>
      <c r="H310" s="2014"/>
      <c r="I310" s="2014"/>
      <c r="J310" s="2014"/>
      <c r="P310" s="1772"/>
      <c r="Q310" s="1772"/>
      <c r="R310" s="1772"/>
      <c r="S310" s="1772"/>
      <c r="T310" s="1772"/>
      <c r="U310" s="1772"/>
      <c r="V310" s="1772"/>
      <c r="W310" s="1772"/>
      <c r="X310" s="1772"/>
      <c r="Y310" s="1772"/>
      <c r="Z310" s="1772"/>
      <c r="AA310" s="1772"/>
      <c r="AB310" s="1772"/>
      <c r="AC310" s="1772"/>
    </row>
    <row r="311" spans="1:29" s="1809" customFormat="1" ht="13.8" x14ac:dyDescent="0.25">
      <c r="A311" s="2716" t="s">
        <v>2128</v>
      </c>
      <c r="B311" s="2716"/>
      <c r="C311" s="2716"/>
      <c r="D311" s="2716"/>
      <c r="E311" s="2716"/>
      <c r="F311" s="2716"/>
      <c r="G311" s="1783">
        <f>G310/9.29</f>
        <v>1656.2356700753501</v>
      </c>
      <c r="H311" s="2014"/>
      <c r="I311" s="2014"/>
      <c r="J311" s="2014"/>
      <c r="P311" s="1772"/>
      <c r="Q311" s="1772"/>
      <c r="R311" s="1772"/>
      <c r="S311" s="1772"/>
      <c r="T311" s="1772"/>
      <c r="U311" s="1772"/>
      <c r="V311" s="1772"/>
      <c r="W311" s="1772"/>
      <c r="X311" s="1772"/>
      <c r="Y311" s="1772"/>
      <c r="Z311" s="1772"/>
      <c r="AA311" s="1772"/>
      <c r="AB311" s="1772"/>
      <c r="AC311" s="1772"/>
    </row>
    <row r="312" spans="1:29" s="1809" customFormat="1" ht="14.4" thickBot="1" x14ac:dyDescent="0.3">
      <c r="A312" s="2724" t="s">
        <v>2129</v>
      </c>
      <c r="B312" s="2724"/>
      <c r="C312" s="2724"/>
      <c r="D312" s="2724"/>
      <c r="E312" s="2724"/>
      <c r="F312" s="2724"/>
      <c r="G312" s="1810">
        <f>G311/10.76</f>
        <v>153.92524814826675</v>
      </c>
      <c r="H312" s="2014"/>
      <c r="I312" s="2014"/>
      <c r="J312" s="2014"/>
      <c r="P312" s="1772"/>
      <c r="Q312" s="1772"/>
      <c r="R312" s="1772"/>
      <c r="S312" s="1772"/>
      <c r="T312" s="1772"/>
      <c r="U312" s="1772"/>
      <c r="V312" s="1772"/>
      <c r="W312" s="1772"/>
      <c r="X312" s="1772"/>
      <c r="Y312" s="1772"/>
      <c r="Z312" s="1772"/>
      <c r="AA312" s="1772"/>
      <c r="AB312" s="1772"/>
      <c r="AC312" s="1772"/>
    </row>
    <row r="314" spans="1:29" s="1809" customFormat="1" ht="13.8" thickBot="1" x14ac:dyDescent="0.3">
      <c r="A314" s="1772"/>
      <c r="B314" s="1772"/>
      <c r="C314" s="1772"/>
      <c r="D314" s="1772"/>
      <c r="E314" s="1772"/>
      <c r="F314" s="1772"/>
      <c r="G314" s="1772"/>
      <c r="H314" s="2014"/>
      <c r="I314" s="2014"/>
      <c r="J314" s="2014"/>
      <c r="P314" s="1772"/>
      <c r="Q314" s="1772"/>
      <c r="R314" s="1772"/>
      <c r="S314" s="1772"/>
      <c r="T314" s="1772"/>
      <c r="U314" s="1772"/>
      <c r="V314" s="1772"/>
      <c r="W314" s="1772"/>
      <c r="X314" s="1772"/>
      <c r="Y314" s="1772"/>
      <c r="Z314" s="1772"/>
      <c r="AA314" s="1772"/>
      <c r="AB314" s="1772"/>
      <c r="AC314" s="1772"/>
    </row>
    <row r="315" spans="1:29" s="1809" customFormat="1" ht="13.8" x14ac:dyDescent="0.25">
      <c r="A315" s="2717" t="s">
        <v>2152</v>
      </c>
      <c r="B315" s="2718"/>
      <c r="C315" s="2718"/>
      <c r="D315" s="2718"/>
      <c r="E315" s="2718"/>
      <c r="F315" s="2718"/>
      <c r="G315" s="2719"/>
      <c r="H315" s="2014"/>
      <c r="I315" s="2014"/>
      <c r="J315" s="2014"/>
      <c r="P315" s="1772"/>
      <c r="Q315" s="1772"/>
      <c r="R315" s="1772"/>
      <c r="S315" s="1772"/>
      <c r="T315" s="1772"/>
      <c r="U315" s="1772"/>
      <c r="V315" s="1772"/>
      <c r="W315" s="1772"/>
      <c r="X315" s="1772"/>
      <c r="Y315" s="1772"/>
      <c r="Z315" s="1772"/>
      <c r="AA315" s="1772"/>
      <c r="AB315" s="1772"/>
      <c r="AC315" s="1772"/>
    </row>
    <row r="316" spans="1:29" s="1809" customFormat="1" ht="14.4" thickBot="1" x14ac:dyDescent="0.3">
      <c r="A316" s="2720" t="s">
        <v>2093</v>
      </c>
      <c r="B316" s="2721"/>
      <c r="C316" s="2721"/>
      <c r="D316" s="2721"/>
      <c r="E316" s="2721"/>
      <c r="F316" s="2721"/>
      <c r="G316" s="2722"/>
      <c r="H316" s="2014"/>
      <c r="I316" s="2014"/>
      <c r="J316" s="2014"/>
      <c r="P316" s="1772"/>
      <c r="Q316" s="1772"/>
      <c r="R316" s="1772"/>
      <c r="S316" s="1772"/>
      <c r="T316" s="1772"/>
      <c r="U316" s="1772"/>
      <c r="V316" s="1772"/>
      <c r="W316" s="1772"/>
      <c r="X316" s="1772"/>
      <c r="Y316" s="1772"/>
      <c r="Z316" s="1772"/>
      <c r="AA316" s="1772"/>
      <c r="AB316" s="1772"/>
      <c r="AC316" s="1772"/>
    </row>
    <row r="317" spans="1:29" s="1809" customFormat="1" ht="14.4" thickBot="1" x14ac:dyDescent="0.3">
      <c r="A317" s="1773"/>
      <c r="B317" s="1774" t="s">
        <v>2094</v>
      </c>
      <c r="C317" s="1774" t="s">
        <v>2095</v>
      </c>
      <c r="D317" s="1774" t="s">
        <v>2</v>
      </c>
      <c r="E317" s="1774" t="s">
        <v>2096</v>
      </c>
      <c r="F317" s="1774" t="s">
        <v>5</v>
      </c>
      <c r="G317" s="1774" t="s">
        <v>2097</v>
      </c>
      <c r="H317" s="2014"/>
      <c r="I317" s="2014"/>
      <c r="J317" s="2014"/>
      <c r="P317" s="1772"/>
      <c r="Q317" s="1772"/>
      <c r="R317" s="1772"/>
      <c r="S317" s="1772"/>
      <c r="T317" s="1772"/>
      <c r="U317" s="1772"/>
      <c r="V317" s="1772"/>
      <c r="W317" s="1772"/>
      <c r="X317" s="1772"/>
      <c r="Y317" s="1772"/>
      <c r="Z317" s="1772"/>
      <c r="AA317" s="1772"/>
      <c r="AB317" s="1772"/>
      <c r="AC317" s="1772"/>
    </row>
    <row r="318" spans="1:29" s="1809" customFormat="1" ht="13.8" x14ac:dyDescent="0.25">
      <c r="A318" s="1775"/>
      <c r="B318" s="1775"/>
      <c r="C318" s="1776"/>
      <c r="D318" s="1777"/>
      <c r="E318" s="1777"/>
      <c r="F318" s="1777"/>
      <c r="G318" s="1777"/>
      <c r="H318" s="2014"/>
      <c r="I318" s="2014"/>
      <c r="J318" s="2014"/>
      <c r="P318" s="1772"/>
      <c r="Q318" s="1772"/>
      <c r="R318" s="1772"/>
      <c r="S318" s="1772"/>
      <c r="T318" s="1772"/>
      <c r="U318" s="1772"/>
      <c r="V318" s="1772"/>
      <c r="W318" s="1772"/>
      <c r="X318" s="1772"/>
      <c r="Y318" s="1772"/>
      <c r="Z318" s="1772"/>
      <c r="AA318" s="1772"/>
      <c r="AB318" s="1772"/>
      <c r="AC318" s="1772"/>
    </row>
    <row r="319" spans="1:29" s="1809" customFormat="1" ht="13.8" x14ac:dyDescent="0.25">
      <c r="A319" s="1775"/>
      <c r="B319" s="1778"/>
      <c r="C319" s="1776"/>
      <c r="D319" s="1777"/>
      <c r="E319" s="1777"/>
      <c r="F319" s="1777"/>
      <c r="G319" s="1777"/>
      <c r="H319" s="2014"/>
      <c r="I319" s="2014"/>
      <c r="J319" s="2014"/>
      <c r="P319" s="1772"/>
      <c r="Q319" s="1772"/>
      <c r="R319" s="1772"/>
      <c r="S319" s="1772"/>
      <c r="T319" s="1772"/>
      <c r="U319" s="1772"/>
      <c r="V319" s="1772"/>
      <c r="W319" s="1772"/>
      <c r="X319" s="1772"/>
      <c r="Y319" s="1772"/>
      <c r="Z319" s="1772"/>
      <c r="AA319" s="1772"/>
      <c r="AB319" s="1772"/>
      <c r="AC319" s="1772"/>
    </row>
    <row r="320" spans="1:29" s="1809" customFormat="1" ht="13.8" x14ac:dyDescent="0.25">
      <c r="A320" s="1775"/>
      <c r="B320" s="1775" t="s">
        <v>2149</v>
      </c>
      <c r="C320" s="1777" t="s">
        <v>131</v>
      </c>
      <c r="D320" s="1777">
        <v>0.25</v>
      </c>
      <c r="E320" s="1777">
        <f>G238</f>
        <v>63871.25</v>
      </c>
      <c r="F320" s="1777">
        <f>D320*E320</f>
        <v>15967.8125</v>
      </c>
      <c r="G320" s="1777"/>
      <c r="H320" s="2014"/>
      <c r="I320" s="2014">
        <f>9.29*0.075</f>
        <v>0.69674999999999987</v>
      </c>
      <c r="J320" s="2014">
        <f>I320/2.83</f>
        <v>0.24620141342756177</v>
      </c>
      <c r="P320" s="1772"/>
      <c r="Q320" s="1772"/>
      <c r="R320" s="1772"/>
      <c r="S320" s="1772"/>
      <c r="T320" s="1772"/>
      <c r="U320" s="1772"/>
      <c r="V320" s="1772"/>
      <c r="W320" s="1772"/>
      <c r="X320" s="1772"/>
      <c r="Y320" s="1772"/>
      <c r="Z320" s="1772"/>
      <c r="AA320" s="1772"/>
      <c r="AB320" s="1772"/>
      <c r="AC320" s="1772"/>
    </row>
    <row r="321" spans="1:29" s="1809" customFormat="1" ht="13.8" x14ac:dyDescent="0.25">
      <c r="A321" s="1775"/>
      <c r="B321" s="1775"/>
      <c r="C321" s="1777"/>
      <c r="D321" s="1777"/>
      <c r="E321" s="1777"/>
      <c r="F321" s="1777"/>
      <c r="G321" s="1777"/>
      <c r="H321" s="2014"/>
      <c r="I321" s="2014"/>
      <c r="J321" s="2014"/>
      <c r="P321" s="1772"/>
      <c r="Q321" s="1772"/>
      <c r="R321" s="1772"/>
      <c r="S321" s="1772"/>
      <c r="T321" s="1772"/>
      <c r="U321" s="1772"/>
      <c r="V321" s="1772"/>
      <c r="W321" s="1772"/>
      <c r="X321" s="1772"/>
      <c r="Y321" s="1772"/>
      <c r="Z321" s="1772"/>
      <c r="AA321" s="1772"/>
      <c r="AB321" s="1772"/>
      <c r="AC321" s="1772"/>
    </row>
    <row r="322" spans="1:29" s="1809" customFormat="1" ht="13.8" x14ac:dyDescent="0.25">
      <c r="A322" s="1775"/>
      <c r="B322" s="1790" t="s">
        <v>2150</v>
      </c>
      <c r="C322" s="1777"/>
      <c r="D322" s="1777"/>
      <c r="E322" s="1777"/>
      <c r="F322" s="1777">
        <f>F320*10%</f>
        <v>1596.78125</v>
      </c>
      <c r="G322" s="1777"/>
      <c r="H322" s="2014"/>
      <c r="I322" s="2014"/>
      <c r="J322" s="2014"/>
      <c r="P322" s="1772"/>
      <c r="Q322" s="1772"/>
      <c r="R322" s="1772"/>
      <c r="S322" s="1772"/>
      <c r="T322" s="1772"/>
      <c r="U322" s="1772"/>
      <c r="V322" s="1772"/>
      <c r="W322" s="1772"/>
      <c r="X322" s="1772"/>
      <c r="Y322" s="1772"/>
      <c r="Z322" s="1772"/>
      <c r="AA322" s="1772"/>
      <c r="AB322" s="1772"/>
      <c r="AC322" s="1772"/>
    </row>
    <row r="323" spans="1:29" s="1809" customFormat="1" ht="13.8" x14ac:dyDescent="0.25">
      <c r="A323" s="1775"/>
      <c r="B323" s="1776"/>
      <c r="C323" s="1777"/>
      <c r="D323" s="1777"/>
      <c r="E323" s="1777"/>
      <c r="F323" s="1777"/>
      <c r="G323" s="1777"/>
      <c r="H323" s="2014"/>
      <c r="I323" s="2014"/>
      <c r="J323" s="2014"/>
      <c r="P323" s="1772"/>
      <c r="Q323" s="1772"/>
      <c r="R323" s="1772"/>
      <c r="S323" s="1772"/>
      <c r="T323" s="1772"/>
      <c r="U323" s="1772"/>
      <c r="V323" s="1772"/>
      <c r="W323" s="1772"/>
      <c r="X323" s="1772"/>
      <c r="Y323" s="1772"/>
      <c r="Z323" s="1772"/>
      <c r="AA323" s="1772"/>
      <c r="AB323" s="1772"/>
      <c r="AC323" s="1772"/>
    </row>
    <row r="324" spans="1:29" s="1809" customFormat="1" ht="13.8" x14ac:dyDescent="0.25">
      <c r="A324" s="1775"/>
      <c r="B324" s="1775"/>
      <c r="C324" s="1776"/>
      <c r="D324" s="1777"/>
      <c r="E324" s="1777"/>
      <c r="F324" s="1777"/>
      <c r="G324" s="1777"/>
      <c r="H324" s="2014"/>
      <c r="I324" s="2014"/>
      <c r="J324" s="2014"/>
      <c r="P324" s="1772"/>
      <c r="Q324" s="1772"/>
      <c r="R324" s="1772"/>
      <c r="S324" s="1772"/>
      <c r="T324" s="1772"/>
      <c r="U324" s="1772"/>
      <c r="V324" s="1772"/>
      <c r="W324" s="1772"/>
      <c r="X324" s="1772"/>
      <c r="Y324" s="1772"/>
      <c r="Z324" s="1772"/>
      <c r="AA324" s="1772"/>
      <c r="AB324" s="1772"/>
      <c r="AC324" s="1772"/>
    </row>
    <row r="325" spans="1:29" s="1809" customFormat="1" ht="13.8" x14ac:dyDescent="0.25">
      <c r="A325" s="1779"/>
      <c r="B325" s="2723" t="s">
        <v>2112</v>
      </c>
      <c r="C325" s="2723"/>
      <c r="D325" s="2723"/>
      <c r="E325" s="2723"/>
      <c r="F325" s="1780">
        <f t="shared" ref="F325:F327" si="31">D325*E325</f>
        <v>0</v>
      </c>
      <c r="G325" s="1781">
        <f>SUM(F319:F325)</f>
        <v>17564.59375</v>
      </c>
      <c r="H325" s="2014"/>
      <c r="I325" s="2014"/>
      <c r="J325" s="2014"/>
      <c r="P325" s="1772"/>
      <c r="Q325" s="1772"/>
      <c r="R325" s="1772"/>
      <c r="S325" s="1772"/>
      <c r="T325" s="1772"/>
      <c r="U325" s="1772"/>
      <c r="V325" s="1772"/>
      <c r="W325" s="1772"/>
      <c r="X325" s="1772"/>
      <c r="Y325" s="1772"/>
      <c r="Z325" s="1772"/>
      <c r="AA325" s="1772"/>
      <c r="AB325" s="1772"/>
      <c r="AC325" s="1772"/>
    </row>
    <row r="326" spans="1:29" ht="13.8" x14ac:dyDescent="0.25">
      <c r="A326" s="1775"/>
      <c r="B326" s="1778" t="s">
        <v>2098</v>
      </c>
      <c r="C326" s="1776"/>
      <c r="D326" s="1777"/>
      <c r="E326" s="1777"/>
      <c r="F326" s="1777"/>
      <c r="G326" s="1777"/>
    </row>
    <row r="327" spans="1:29" ht="13.8" x14ac:dyDescent="0.25">
      <c r="A327" s="1786"/>
      <c r="B327" s="1786" t="s">
        <v>2106</v>
      </c>
      <c r="C327" s="1761" t="s">
        <v>346</v>
      </c>
      <c r="D327" s="1761">
        <v>100</v>
      </c>
      <c r="E327" s="1761">
        <v>65</v>
      </c>
      <c r="F327" s="1761">
        <f t="shared" si="31"/>
        <v>6500</v>
      </c>
      <c r="G327" s="1761"/>
    </row>
    <row r="328" spans="1:29" ht="13.8" x14ac:dyDescent="0.25">
      <c r="A328" s="1775"/>
      <c r="B328" s="1775"/>
      <c r="C328" s="1776"/>
      <c r="D328" s="1777"/>
      <c r="E328" s="1777"/>
      <c r="F328" s="1777"/>
      <c r="G328" s="1777"/>
    </row>
    <row r="329" spans="1:29" ht="13.8" x14ac:dyDescent="0.25">
      <c r="A329" s="1779"/>
      <c r="B329" s="2723" t="s">
        <v>2100</v>
      </c>
      <c r="C329" s="2723"/>
      <c r="D329" s="2723"/>
      <c r="E329" s="2723"/>
      <c r="F329" s="1780">
        <f t="shared" ref="F329" si="32">D329*E329</f>
        <v>0</v>
      </c>
      <c r="G329" s="1781">
        <f>SUM(F327:F329)</f>
        <v>6500</v>
      </c>
    </row>
    <row r="330" spans="1:29" ht="13.8" x14ac:dyDescent="0.25">
      <c r="A330" s="1775"/>
      <c r="B330" s="1778" t="s">
        <v>2115</v>
      </c>
      <c r="C330" s="1776"/>
      <c r="D330" s="1777"/>
      <c r="E330" s="1777"/>
      <c r="F330" s="1777"/>
      <c r="G330" s="1777"/>
    </row>
    <row r="331" spans="1:29" ht="13.8" x14ac:dyDescent="0.25">
      <c r="A331" s="1775"/>
      <c r="B331" s="1775"/>
      <c r="C331" s="1776"/>
      <c r="D331" s="1777"/>
      <c r="E331" s="1777"/>
      <c r="F331" s="1777"/>
      <c r="G331" s="1777"/>
    </row>
    <row r="332" spans="1:29" ht="13.8" x14ac:dyDescent="0.25">
      <c r="A332" s="1775"/>
      <c r="B332" s="1775" t="s">
        <v>2140</v>
      </c>
      <c r="C332" s="1777" t="s">
        <v>2114</v>
      </c>
      <c r="D332" s="1777">
        <v>0.08</v>
      </c>
      <c r="E332" s="1777">
        <v>5000</v>
      </c>
      <c r="F332" s="1777">
        <f>D332*E332</f>
        <v>400</v>
      </c>
      <c r="G332" s="1777"/>
    </row>
    <row r="333" spans="1:29" ht="13.8" x14ac:dyDescent="0.25">
      <c r="A333" s="1775"/>
      <c r="B333" s="1775" t="s">
        <v>2141</v>
      </c>
      <c r="C333" s="1777" t="s">
        <v>2114</v>
      </c>
      <c r="D333" s="1777">
        <v>0.08</v>
      </c>
      <c r="E333" s="1777">
        <v>2000</v>
      </c>
      <c r="F333" s="1777">
        <f>D333*E333</f>
        <v>160</v>
      </c>
      <c r="G333" s="1777"/>
    </row>
    <row r="334" spans="1:29" ht="13.8" x14ac:dyDescent="0.25">
      <c r="A334" s="1775"/>
      <c r="B334" s="1775"/>
      <c r="C334" s="1776"/>
      <c r="D334" s="1777"/>
      <c r="E334" s="1777"/>
      <c r="F334" s="1777"/>
      <c r="G334" s="1777"/>
    </row>
    <row r="335" spans="1:29" ht="13.8" x14ac:dyDescent="0.25">
      <c r="A335" s="1779"/>
      <c r="B335" s="2723" t="s">
        <v>2118</v>
      </c>
      <c r="C335" s="2723"/>
      <c r="D335" s="2723"/>
      <c r="E335" s="2723"/>
      <c r="F335" s="1780">
        <f t="shared" ref="F335" si="33">D335*E335</f>
        <v>0</v>
      </c>
      <c r="G335" s="1781">
        <f>SUM(F331:F335)</f>
        <v>560</v>
      </c>
    </row>
    <row r="336" spans="1:29" ht="13.8" x14ac:dyDescent="0.25">
      <c r="A336" s="1775"/>
      <c r="B336" s="1782"/>
      <c r="C336" s="1782"/>
      <c r="D336" s="1782"/>
      <c r="E336" s="1782"/>
      <c r="F336" s="1777"/>
      <c r="G336" s="1782"/>
    </row>
    <row r="337" spans="1:7" ht="13.8" x14ac:dyDescent="0.25">
      <c r="A337" s="1775"/>
      <c r="B337" s="1782"/>
      <c r="C337" s="1782"/>
      <c r="D337" s="1782"/>
      <c r="E337" s="1782"/>
      <c r="F337" s="1777"/>
      <c r="G337" s="1782"/>
    </row>
    <row r="338" spans="1:7" ht="13.8" x14ac:dyDescent="0.25">
      <c r="A338" s="2716" t="s">
        <v>2127</v>
      </c>
      <c r="B338" s="2716"/>
      <c r="C338" s="2716"/>
      <c r="D338" s="2716"/>
      <c r="E338" s="2716"/>
      <c r="F338" s="2716"/>
      <c r="G338" s="1783">
        <f>G325+G329+G335</f>
        <v>24624.59375</v>
      </c>
    </row>
    <row r="339" spans="1:7" ht="13.8" x14ac:dyDescent="0.25">
      <c r="A339" s="2716" t="s">
        <v>2128</v>
      </c>
      <c r="B339" s="2716"/>
      <c r="C339" s="2716"/>
      <c r="D339" s="2716"/>
      <c r="E339" s="2716"/>
      <c r="F339" s="2716"/>
      <c r="G339" s="1783">
        <f>G338/9.29</f>
        <v>2650.6559472551135</v>
      </c>
    </row>
    <row r="340" spans="1:7" ht="14.4" thickBot="1" x14ac:dyDescent="0.3">
      <c r="A340" s="2724" t="s">
        <v>2129</v>
      </c>
      <c r="B340" s="2724"/>
      <c r="C340" s="2724"/>
      <c r="D340" s="2724"/>
      <c r="E340" s="2724"/>
      <c r="F340" s="2724"/>
      <c r="G340" s="1810">
        <f>G339/10.76</f>
        <v>246.3434895218507</v>
      </c>
    </row>
    <row r="342" spans="1:7" ht="13.8" thickBot="1" x14ac:dyDescent="0.3"/>
    <row r="343" spans="1:7" ht="13.8" x14ac:dyDescent="0.25">
      <c r="A343" s="2717" t="s">
        <v>2153</v>
      </c>
      <c r="B343" s="2718"/>
      <c r="C343" s="2718"/>
      <c r="D343" s="2718"/>
      <c r="E343" s="2718"/>
      <c r="F343" s="2718"/>
      <c r="G343" s="2719"/>
    </row>
    <row r="344" spans="1:7" ht="14.4" thickBot="1" x14ac:dyDescent="0.3">
      <c r="A344" s="2720" t="s">
        <v>2093</v>
      </c>
      <c r="B344" s="2721"/>
      <c r="C344" s="2721"/>
      <c r="D344" s="2721"/>
      <c r="E344" s="2721"/>
      <c r="F344" s="2721"/>
      <c r="G344" s="2722"/>
    </row>
    <row r="345" spans="1:7" ht="14.4" thickBot="1" x14ac:dyDescent="0.3">
      <c r="A345" s="1773"/>
      <c r="B345" s="1774" t="s">
        <v>2094</v>
      </c>
      <c r="C345" s="1774" t="s">
        <v>2095</v>
      </c>
      <c r="D345" s="1774" t="s">
        <v>2</v>
      </c>
      <c r="E345" s="1774" t="s">
        <v>2096</v>
      </c>
      <c r="F345" s="1774" t="s">
        <v>5</v>
      </c>
      <c r="G345" s="1774" t="s">
        <v>2097</v>
      </c>
    </row>
    <row r="346" spans="1:7" ht="13.8" x14ac:dyDescent="0.25">
      <c r="A346" s="1775"/>
      <c r="B346" s="1775"/>
      <c r="C346" s="1776"/>
      <c r="D346" s="1777"/>
      <c r="E346" s="1777"/>
      <c r="F346" s="1777"/>
      <c r="G346" s="1777"/>
    </row>
    <row r="347" spans="1:7" ht="13.8" x14ac:dyDescent="0.25">
      <c r="A347" s="1775"/>
      <c r="B347" s="1778"/>
      <c r="C347" s="1776"/>
      <c r="D347" s="1777"/>
      <c r="E347" s="1777"/>
      <c r="F347" s="1777"/>
      <c r="G347" s="1777"/>
    </row>
    <row r="348" spans="1:7" ht="13.8" x14ac:dyDescent="0.25">
      <c r="A348" s="1775"/>
      <c r="B348" s="1775" t="s">
        <v>2149</v>
      </c>
      <c r="C348" s="1777" t="s">
        <v>131</v>
      </c>
      <c r="D348" s="1777">
        <v>0.25</v>
      </c>
      <c r="E348" s="1777">
        <f>G238</f>
        <v>63871.25</v>
      </c>
      <c r="F348" s="1777">
        <f>D348*E348</f>
        <v>15967.8125</v>
      </c>
      <c r="G348" s="1777"/>
    </row>
    <row r="349" spans="1:7" ht="13.8" x14ac:dyDescent="0.25">
      <c r="A349" s="1775"/>
      <c r="B349" s="1775"/>
      <c r="C349" s="1777"/>
      <c r="D349" s="1777"/>
      <c r="E349" s="1777"/>
      <c r="F349" s="1777"/>
      <c r="G349" s="1777"/>
    </row>
    <row r="350" spans="1:7" ht="13.8" x14ac:dyDescent="0.25">
      <c r="A350" s="1775"/>
      <c r="B350" s="1790" t="s">
        <v>2154</v>
      </c>
      <c r="C350" s="1777"/>
      <c r="D350" s="1777"/>
      <c r="E350" s="1777"/>
      <c r="F350" s="1777">
        <f>F348*10%</f>
        <v>1596.78125</v>
      </c>
      <c r="G350" s="1777"/>
    </row>
    <row r="351" spans="1:7" ht="13.8" x14ac:dyDescent="0.25">
      <c r="A351" s="1775"/>
      <c r="B351" s="1790"/>
      <c r="C351" s="1777"/>
      <c r="D351" s="1777"/>
      <c r="E351" s="1777"/>
      <c r="F351" s="1777"/>
      <c r="G351" s="1777"/>
    </row>
    <row r="352" spans="1:7" ht="13.8" x14ac:dyDescent="0.25">
      <c r="A352" s="1775"/>
      <c r="B352" s="1790" t="s">
        <v>2155</v>
      </c>
      <c r="C352" s="1777" t="s">
        <v>2126</v>
      </c>
      <c r="D352" s="1777">
        <v>100</v>
      </c>
      <c r="E352" s="1777">
        <v>100</v>
      </c>
      <c r="F352" s="1777">
        <f>D352*E352</f>
        <v>10000</v>
      </c>
      <c r="G352" s="1777"/>
    </row>
    <row r="353" spans="1:7" ht="13.8" x14ac:dyDescent="0.25">
      <c r="A353" s="1775"/>
      <c r="B353" s="1776"/>
      <c r="C353" s="1777"/>
      <c r="D353" s="1777"/>
      <c r="E353" s="1777"/>
      <c r="F353" s="1777"/>
      <c r="G353" s="1777"/>
    </row>
    <row r="354" spans="1:7" ht="13.8" x14ac:dyDescent="0.25">
      <c r="A354" s="1775"/>
      <c r="B354" s="1775"/>
      <c r="C354" s="1776"/>
      <c r="D354" s="1777"/>
      <c r="E354" s="1777"/>
      <c r="F354" s="1777"/>
      <c r="G354" s="1777"/>
    </row>
    <row r="355" spans="1:7" ht="13.8" x14ac:dyDescent="0.25">
      <c r="A355" s="1779"/>
      <c r="B355" s="2723" t="s">
        <v>2112</v>
      </c>
      <c r="C355" s="2723"/>
      <c r="D355" s="2723"/>
      <c r="E355" s="2723"/>
      <c r="F355" s="1780">
        <f t="shared" ref="F355" si="34">D355*E355</f>
        <v>0</v>
      </c>
      <c r="G355" s="1781">
        <f>SUM(F347:F355)</f>
        <v>27564.59375</v>
      </c>
    </row>
    <row r="356" spans="1:7" ht="13.8" x14ac:dyDescent="0.25">
      <c r="A356" s="1775"/>
      <c r="B356" s="1778" t="s">
        <v>2098</v>
      </c>
      <c r="C356" s="1776"/>
      <c r="D356" s="1777"/>
      <c r="E356" s="1777"/>
      <c r="F356" s="1777"/>
      <c r="G356" s="1777"/>
    </row>
    <row r="357" spans="1:7" ht="13.8" x14ac:dyDescent="0.25">
      <c r="A357" s="1786"/>
      <c r="B357" s="1786" t="s">
        <v>2106</v>
      </c>
      <c r="C357" s="1761" t="s">
        <v>346</v>
      </c>
      <c r="D357" s="1761">
        <v>100</v>
      </c>
      <c r="E357" s="1761">
        <v>65</v>
      </c>
      <c r="F357" s="1761">
        <f t="shared" ref="F357" si="35">D357*E357</f>
        <v>6500</v>
      </c>
      <c r="G357" s="1761"/>
    </row>
    <row r="358" spans="1:7" ht="13.8" x14ac:dyDescent="0.25">
      <c r="A358" s="1775"/>
      <c r="B358" s="1775"/>
      <c r="C358" s="1776"/>
      <c r="D358" s="1777"/>
      <c r="E358" s="1777"/>
      <c r="F358" s="1777"/>
      <c r="G358" s="1777"/>
    </row>
    <row r="359" spans="1:7" ht="13.8" x14ac:dyDescent="0.25">
      <c r="A359" s="1779"/>
      <c r="B359" s="2723" t="s">
        <v>2100</v>
      </c>
      <c r="C359" s="2723"/>
      <c r="D359" s="2723"/>
      <c r="E359" s="2723"/>
      <c r="F359" s="1780">
        <f t="shared" ref="F359" si="36">D359*E359</f>
        <v>0</v>
      </c>
      <c r="G359" s="1781">
        <f>SUM(F357:F359)</f>
        <v>6500</v>
      </c>
    </row>
    <row r="360" spans="1:7" ht="13.8" x14ac:dyDescent="0.25">
      <c r="A360" s="1775"/>
      <c r="B360" s="1778" t="s">
        <v>2115</v>
      </c>
      <c r="C360" s="1776"/>
      <c r="D360" s="1777"/>
      <c r="E360" s="1777"/>
      <c r="F360" s="1777"/>
      <c r="G360" s="1777"/>
    </row>
    <row r="361" spans="1:7" ht="13.8" x14ac:dyDescent="0.25">
      <c r="A361" s="1775"/>
      <c r="B361" s="1775"/>
      <c r="C361" s="1776"/>
      <c r="D361" s="1777"/>
      <c r="E361" s="1777"/>
      <c r="F361" s="1777"/>
      <c r="G361" s="1777"/>
    </row>
    <row r="362" spans="1:7" ht="13.8" x14ac:dyDescent="0.25">
      <c r="A362" s="1775"/>
      <c r="B362" s="1775" t="s">
        <v>2140</v>
      </c>
      <c r="C362" s="1777" t="s">
        <v>2114</v>
      </c>
      <c r="D362" s="1777">
        <v>0.08</v>
      </c>
      <c r="E362" s="1777">
        <v>5000</v>
      </c>
      <c r="F362" s="1777">
        <f>D362*E362</f>
        <v>400</v>
      </c>
      <c r="G362" s="1777"/>
    </row>
    <row r="363" spans="1:7" ht="13.8" x14ac:dyDescent="0.25">
      <c r="A363" s="1775"/>
      <c r="B363" s="1775" t="s">
        <v>2141</v>
      </c>
      <c r="C363" s="1777" t="s">
        <v>2114</v>
      </c>
      <c r="D363" s="1777">
        <v>0.08</v>
      </c>
      <c r="E363" s="1777">
        <v>2000</v>
      </c>
      <c r="F363" s="1777">
        <f>D363*E363</f>
        <v>160</v>
      </c>
      <c r="G363" s="1777"/>
    </row>
    <row r="364" spans="1:7" ht="13.8" x14ac:dyDescent="0.25">
      <c r="A364" s="1775"/>
      <c r="B364" s="1775"/>
      <c r="C364" s="1776"/>
      <c r="D364" s="1777"/>
      <c r="E364" s="1777"/>
      <c r="F364" s="1777"/>
      <c r="G364" s="1777"/>
    </row>
    <row r="365" spans="1:7" ht="13.8" x14ac:dyDescent="0.25">
      <c r="A365" s="1779"/>
      <c r="B365" s="2723" t="s">
        <v>2118</v>
      </c>
      <c r="C365" s="2723"/>
      <c r="D365" s="2723"/>
      <c r="E365" s="2723"/>
      <c r="F365" s="1780">
        <f t="shared" ref="F365" si="37">D365*E365</f>
        <v>0</v>
      </c>
      <c r="G365" s="1781">
        <f>SUM(F361:F365)</f>
        <v>560</v>
      </c>
    </row>
    <row r="366" spans="1:7" ht="13.8" x14ac:dyDescent="0.25">
      <c r="A366" s="1775"/>
      <c r="B366" s="1782"/>
      <c r="C366" s="1782"/>
      <c r="D366" s="1782"/>
      <c r="E366" s="1782"/>
      <c r="F366" s="1777"/>
      <c r="G366" s="1782"/>
    </row>
    <row r="367" spans="1:7" ht="13.8" x14ac:dyDescent="0.25">
      <c r="A367" s="1775"/>
      <c r="B367" s="1782"/>
      <c r="C367" s="1782"/>
      <c r="D367" s="1782"/>
      <c r="E367" s="1782"/>
      <c r="F367" s="1777"/>
      <c r="G367" s="1782"/>
    </row>
    <row r="368" spans="1:7" ht="13.8" x14ac:dyDescent="0.25">
      <c r="A368" s="2716" t="s">
        <v>2127</v>
      </c>
      <c r="B368" s="2716"/>
      <c r="C368" s="2716"/>
      <c r="D368" s="2716"/>
      <c r="E368" s="2716"/>
      <c r="F368" s="2716"/>
      <c r="G368" s="1783">
        <f>G355+G359+G365</f>
        <v>34624.59375</v>
      </c>
    </row>
    <row r="369" spans="1:29" ht="13.8" x14ac:dyDescent="0.25">
      <c r="A369" s="2716" t="s">
        <v>2128</v>
      </c>
      <c r="B369" s="2716"/>
      <c r="C369" s="2716"/>
      <c r="D369" s="2716"/>
      <c r="E369" s="2716"/>
      <c r="F369" s="2716"/>
      <c r="G369" s="1783">
        <f>G368/9.29</f>
        <v>3727.0822120559747</v>
      </c>
    </row>
    <row r="370" spans="1:29" ht="14.4" thickBot="1" x14ac:dyDescent="0.3">
      <c r="A370" s="2724" t="s">
        <v>2129</v>
      </c>
      <c r="B370" s="2724"/>
      <c r="C370" s="2724"/>
      <c r="D370" s="2724"/>
      <c r="E370" s="2724"/>
      <c r="F370" s="2724"/>
      <c r="G370" s="1810">
        <f>G369/10.76</f>
        <v>346.38310520966309</v>
      </c>
    </row>
    <row r="373" spans="1:29" x14ac:dyDescent="0.25">
      <c r="A373" s="2733" t="s">
        <v>2156</v>
      </c>
      <c r="B373" s="2733"/>
      <c r="C373" s="2733"/>
      <c r="D373" s="2733"/>
      <c r="E373" s="2733"/>
      <c r="F373" s="2733"/>
      <c r="G373" s="2733"/>
    </row>
    <row r="375" spans="1:29" s="1809" customFormat="1" ht="13.8" thickBot="1" x14ac:dyDescent="0.3">
      <c r="A375" s="1772"/>
      <c r="B375" s="1772"/>
      <c r="C375" s="1772"/>
      <c r="D375" s="1772"/>
      <c r="E375" s="1772"/>
      <c r="F375" s="1772"/>
      <c r="G375" s="1772"/>
      <c r="H375" s="2014"/>
      <c r="I375" s="2014"/>
      <c r="J375" s="2014"/>
      <c r="P375" s="1772"/>
      <c r="Q375" s="1772"/>
      <c r="R375" s="1772"/>
      <c r="S375" s="1772"/>
      <c r="T375" s="1772"/>
      <c r="U375" s="1772"/>
      <c r="V375" s="1772"/>
      <c r="W375" s="1772"/>
      <c r="X375" s="1772"/>
      <c r="Y375" s="1772"/>
      <c r="Z375" s="1772"/>
      <c r="AA375" s="1772"/>
      <c r="AB375" s="1772"/>
      <c r="AC375" s="1772"/>
    </row>
    <row r="376" spans="1:29" s="1809" customFormat="1" ht="13.8" x14ac:dyDescent="0.25">
      <c r="A376" s="2717" t="s">
        <v>2157</v>
      </c>
      <c r="B376" s="2718"/>
      <c r="C376" s="2718"/>
      <c r="D376" s="2718"/>
      <c r="E376" s="2718"/>
      <c r="F376" s="2718"/>
      <c r="G376" s="2719"/>
      <c r="H376" s="2014"/>
      <c r="I376" s="2014"/>
      <c r="J376" s="2014"/>
      <c r="P376" s="1772"/>
      <c r="Q376" s="1772"/>
      <c r="R376" s="1772"/>
      <c r="S376" s="1772"/>
      <c r="T376" s="1772"/>
      <c r="U376" s="1772"/>
      <c r="V376" s="1772"/>
      <c r="W376" s="1772"/>
      <c r="X376" s="1772"/>
      <c r="Y376" s="1772"/>
      <c r="Z376" s="1772"/>
      <c r="AA376" s="1772"/>
      <c r="AB376" s="1772"/>
      <c r="AC376" s="1772"/>
    </row>
    <row r="377" spans="1:29" s="1809" customFormat="1" ht="14.4" thickBot="1" x14ac:dyDescent="0.3">
      <c r="A377" s="2720" t="s">
        <v>2158</v>
      </c>
      <c r="B377" s="2721"/>
      <c r="C377" s="2721"/>
      <c r="D377" s="2721"/>
      <c r="E377" s="2721"/>
      <c r="F377" s="2721"/>
      <c r="G377" s="2722"/>
      <c r="H377" s="2014"/>
      <c r="I377" s="2014"/>
      <c r="J377" s="2014"/>
      <c r="P377" s="1772"/>
      <c r="Q377" s="1772"/>
      <c r="R377" s="1772"/>
      <c r="S377" s="1772"/>
      <c r="T377" s="1772"/>
      <c r="U377" s="1772"/>
      <c r="V377" s="1772"/>
      <c r="W377" s="1772"/>
      <c r="X377" s="1772"/>
      <c r="Y377" s="1772"/>
      <c r="Z377" s="1772"/>
      <c r="AA377" s="1772"/>
      <c r="AB377" s="1772"/>
      <c r="AC377" s="1772"/>
    </row>
    <row r="378" spans="1:29" s="1809" customFormat="1" ht="14.4" thickBot="1" x14ac:dyDescent="0.3">
      <c r="A378" s="1773"/>
      <c r="B378" s="1774" t="s">
        <v>2094</v>
      </c>
      <c r="C378" s="1774" t="s">
        <v>2095</v>
      </c>
      <c r="D378" s="1774" t="s">
        <v>2</v>
      </c>
      <c r="E378" s="1774" t="s">
        <v>2096</v>
      </c>
      <c r="F378" s="1774" t="s">
        <v>5</v>
      </c>
      <c r="G378" s="1774" t="s">
        <v>2097</v>
      </c>
      <c r="H378" s="2014"/>
      <c r="I378" s="2014"/>
      <c r="J378" s="2014"/>
      <c r="P378" s="1772"/>
      <c r="Q378" s="1772"/>
      <c r="R378" s="1772"/>
      <c r="S378" s="1772"/>
      <c r="T378" s="1772"/>
      <c r="U378" s="1772"/>
      <c r="V378" s="1772"/>
      <c r="W378" s="1772"/>
      <c r="X378" s="1772"/>
      <c r="Y378" s="1772"/>
      <c r="Z378" s="1772"/>
      <c r="AA378" s="1772"/>
      <c r="AB378" s="1772"/>
      <c r="AC378" s="1772"/>
    </row>
    <row r="379" spans="1:29" s="1809" customFormat="1" ht="13.8" x14ac:dyDescent="0.25">
      <c r="A379" s="1775"/>
      <c r="B379" s="1775"/>
      <c r="C379" s="1776"/>
      <c r="D379" s="1777"/>
      <c r="E379" s="1777"/>
      <c r="F379" s="1777"/>
      <c r="G379" s="1777"/>
      <c r="H379" s="2014"/>
      <c r="I379" s="2014"/>
      <c r="J379" s="2014"/>
      <c r="P379" s="1772"/>
      <c r="Q379" s="1772"/>
      <c r="R379" s="1772"/>
      <c r="S379" s="1772"/>
      <c r="T379" s="1772"/>
      <c r="U379" s="1772"/>
      <c r="V379" s="1772"/>
      <c r="W379" s="1772"/>
      <c r="X379" s="1772"/>
      <c r="Y379" s="1772"/>
      <c r="Z379" s="1772"/>
      <c r="AA379" s="1772"/>
      <c r="AB379" s="1772"/>
      <c r="AC379" s="1772"/>
    </row>
    <row r="380" spans="1:29" s="1809" customFormat="1" ht="13.8" x14ac:dyDescent="0.25">
      <c r="A380" s="1775"/>
      <c r="B380" s="1778"/>
      <c r="C380" s="1776"/>
      <c r="D380" s="1777"/>
      <c r="E380" s="1777"/>
      <c r="F380" s="1777"/>
      <c r="G380" s="1777"/>
      <c r="H380" s="2014"/>
      <c r="I380" s="2014"/>
      <c r="J380" s="2014"/>
      <c r="P380" s="1772"/>
      <c r="Q380" s="1772"/>
      <c r="R380" s="1772"/>
      <c r="S380" s="1772"/>
      <c r="T380" s="1772"/>
      <c r="U380" s="1772"/>
      <c r="V380" s="1772"/>
      <c r="W380" s="1772"/>
      <c r="X380" s="1772"/>
      <c r="Y380" s="1772"/>
      <c r="Z380" s="1772"/>
      <c r="AA380" s="1772"/>
      <c r="AB380" s="1772"/>
      <c r="AC380" s="1772"/>
    </row>
    <row r="381" spans="1:29" s="1809" customFormat="1" ht="13.8" x14ac:dyDescent="0.25">
      <c r="A381" s="1775"/>
      <c r="B381" s="1775" t="s">
        <v>2149</v>
      </c>
      <c r="C381" s="1777" t="s">
        <v>131</v>
      </c>
      <c r="D381" s="1777">
        <v>0.04</v>
      </c>
      <c r="E381" s="1757"/>
      <c r="F381" s="1777">
        <f t="shared" ref="F381" si="38">F379*10%</f>
        <v>0</v>
      </c>
      <c r="G381" s="1777"/>
      <c r="H381" s="2014"/>
      <c r="I381" s="2077">
        <f>0.1*0.1*10</f>
        <v>0.10000000000000002</v>
      </c>
      <c r="J381" s="2077">
        <f>I381/2.83</f>
        <v>3.5335689045936404E-2</v>
      </c>
      <c r="P381" s="1772"/>
      <c r="Q381" s="1772"/>
      <c r="R381" s="1772"/>
      <c r="S381" s="1772"/>
      <c r="T381" s="1772"/>
      <c r="U381" s="1772"/>
      <c r="V381" s="1772"/>
      <c r="W381" s="1772"/>
      <c r="X381" s="1772"/>
      <c r="Y381" s="1772"/>
      <c r="Z381" s="1772"/>
      <c r="AA381" s="1772"/>
      <c r="AB381" s="1772"/>
      <c r="AC381" s="1772"/>
    </row>
    <row r="382" spans="1:29" s="1809" customFormat="1" ht="13.8" x14ac:dyDescent="0.25">
      <c r="A382" s="1786"/>
      <c r="B382" s="1786" t="s">
        <v>2159</v>
      </c>
      <c r="C382" s="1761" t="s">
        <v>1945</v>
      </c>
      <c r="D382" s="1761">
        <v>2.76</v>
      </c>
      <c r="E382" s="1761">
        <f>F197</f>
        <v>2235.625</v>
      </c>
      <c r="F382" s="1761">
        <f t="shared" ref="F382:F383" si="39">D382*E382</f>
        <v>6170.3249999999998</v>
      </c>
      <c r="G382" s="1761"/>
      <c r="H382" s="2073">
        <f>D381*23</f>
        <v>0.92</v>
      </c>
      <c r="I382" s="2014"/>
      <c r="J382" s="2014"/>
      <c r="P382" s="1772"/>
      <c r="Q382" s="1772"/>
      <c r="R382" s="1772"/>
      <c r="S382" s="1772"/>
      <c r="T382" s="1772"/>
      <c r="U382" s="1772"/>
      <c r="V382" s="1772"/>
      <c r="W382" s="1772"/>
      <c r="X382" s="1772"/>
      <c r="Y382" s="1772"/>
      <c r="Z382" s="1772"/>
      <c r="AA382" s="1772"/>
      <c r="AB382" s="1772"/>
      <c r="AC382" s="1772"/>
    </row>
    <row r="383" spans="1:29" s="1809" customFormat="1" ht="13.8" x14ac:dyDescent="0.25">
      <c r="A383" s="1786"/>
      <c r="B383" s="1802" t="s">
        <v>1947</v>
      </c>
      <c r="C383" s="1761" t="s">
        <v>131</v>
      </c>
      <c r="D383" s="1761">
        <v>0.02</v>
      </c>
      <c r="E383" s="1761">
        <f>Material!E13</f>
        <v>23500</v>
      </c>
      <c r="F383" s="1761">
        <f t="shared" si="39"/>
        <v>470</v>
      </c>
      <c r="G383" s="1761"/>
      <c r="H383" s="2073">
        <f>D381*0.42</f>
        <v>1.6799999999999999E-2</v>
      </c>
      <c r="I383" s="2014"/>
      <c r="J383" s="2014"/>
      <c r="P383" s="1772"/>
      <c r="Q383" s="1772"/>
      <c r="R383" s="1772"/>
      <c r="S383" s="1772"/>
      <c r="T383" s="1772"/>
      <c r="U383" s="1772"/>
      <c r="V383" s="1772"/>
      <c r="W383" s="1772"/>
      <c r="X383" s="1772"/>
      <c r="Y383" s="1772"/>
      <c r="Z383" s="1772"/>
      <c r="AA383" s="1772"/>
      <c r="AB383" s="1772"/>
      <c r="AC383" s="1772"/>
    </row>
    <row r="384" spans="1:29" s="1809" customFormat="1" ht="13.8" x14ac:dyDescent="0.25">
      <c r="A384" s="1786"/>
      <c r="B384" s="1753" t="s">
        <v>2147</v>
      </c>
      <c r="C384" s="1761" t="s">
        <v>131</v>
      </c>
      <c r="D384" s="1761">
        <v>0.03</v>
      </c>
      <c r="E384" s="1761">
        <f>Material!E17</f>
        <v>13500</v>
      </c>
      <c r="F384" s="1761">
        <f>D384*E384</f>
        <v>405</v>
      </c>
      <c r="G384" s="1761"/>
      <c r="H384" s="2073">
        <f>D381*0.82</f>
        <v>3.2799999999999996E-2</v>
      </c>
      <c r="I384" s="2014"/>
      <c r="J384" s="2014"/>
      <c r="P384" s="1772"/>
      <c r="Q384" s="1772"/>
      <c r="R384" s="1772"/>
      <c r="S384" s="1772"/>
      <c r="T384" s="1772"/>
      <c r="U384" s="1772"/>
      <c r="V384" s="1772"/>
      <c r="W384" s="1772"/>
      <c r="X384" s="1772"/>
      <c r="Y384" s="1772"/>
      <c r="Z384" s="1772"/>
      <c r="AA384" s="1772"/>
      <c r="AB384" s="1772"/>
      <c r="AC384" s="1772"/>
    </row>
    <row r="385" spans="1:29" s="1809" customFormat="1" ht="13.8" x14ac:dyDescent="0.25">
      <c r="A385" s="1775"/>
      <c r="B385" s="1776"/>
      <c r="C385" s="1777"/>
      <c r="D385" s="1777"/>
      <c r="E385" s="1777"/>
      <c r="F385" s="1777">
        <f t="shared" ref="F385:F386" si="40">D385*E385</f>
        <v>0</v>
      </c>
      <c r="G385" s="1777"/>
      <c r="H385" s="2014"/>
      <c r="I385" s="2014"/>
      <c r="J385" s="2014"/>
      <c r="P385" s="1772"/>
      <c r="Q385" s="1772"/>
      <c r="R385" s="1772"/>
      <c r="S385" s="1772"/>
      <c r="T385" s="1772"/>
      <c r="U385" s="1772"/>
      <c r="V385" s="1772"/>
      <c r="W385" s="1772"/>
      <c r="X385" s="1772"/>
      <c r="Y385" s="1772"/>
      <c r="Z385" s="1772"/>
      <c r="AA385" s="1772"/>
      <c r="AB385" s="1772"/>
      <c r="AC385" s="1772"/>
    </row>
    <row r="386" spans="1:29" s="1809" customFormat="1" ht="13.8" x14ac:dyDescent="0.25">
      <c r="A386" s="1786"/>
      <c r="B386" s="1753" t="s">
        <v>2160</v>
      </c>
      <c r="C386" s="1761" t="s">
        <v>134</v>
      </c>
      <c r="D386" s="1761">
        <v>15.06</v>
      </c>
      <c r="E386" s="1761">
        <f>F562</f>
        <v>375.9375</v>
      </c>
      <c r="F386" s="1761">
        <f t="shared" si="40"/>
        <v>5661.6187500000005</v>
      </c>
      <c r="G386" s="1761"/>
      <c r="H386" s="2014">
        <f>11*2*0.617</f>
        <v>13.574</v>
      </c>
      <c r="I386" s="2014"/>
      <c r="J386" s="2014"/>
      <c r="P386" s="1772"/>
      <c r="Q386" s="1772"/>
      <c r="R386" s="1772"/>
      <c r="S386" s="1772"/>
      <c r="T386" s="1772"/>
      <c r="U386" s="1772"/>
      <c r="V386" s="1772"/>
      <c r="W386" s="1772"/>
      <c r="X386" s="1772"/>
      <c r="Y386" s="1772"/>
      <c r="Z386" s="1772"/>
      <c r="AA386" s="1772"/>
      <c r="AB386" s="1772"/>
      <c r="AC386" s="1772"/>
    </row>
    <row r="387" spans="1:29" s="1809" customFormat="1" ht="13.8" x14ac:dyDescent="0.25">
      <c r="A387" s="1775"/>
      <c r="B387" s="1776"/>
      <c r="C387" s="1777"/>
      <c r="D387" s="1777"/>
      <c r="E387" s="1777"/>
      <c r="F387" s="1777"/>
      <c r="G387" s="1777"/>
      <c r="H387" s="2014">
        <f>0.1*67*0.222</f>
        <v>1.4874000000000001</v>
      </c>
      <c r="I387" s="2014"/>
      <c r="J387" s="2014"/>
      <c r="P387" s="1772"/>
      <c r="Q387" s="1772"/>
      <c r="R387" s="1772"/>
      <c r="S387" s="1772"/>
      <c r="T387" s="1772"/>
      <c r="U387" s="1772"/>
      <c r="V387" s="1772"/>
      <c r="W387" s="1772"/>
      <c r="X387" s="1772"/>
      <c r="Y387" s="1772"/>
      <c r="Z387" s="1772"/>
      <c r="AA387" s="1772"/>
      <c r="AB387" s="1772"/>
      <c r="AC387" s="1772"/>
    </row>
    <row r="388" spans="1:29" s="1809" customFormat="1" ht="13.8" x14ac:dyDescent="0.25">
      <c r="A388" s="1775"/>
      <c r="B388" s="1775"/>
      <c r="C388" s="1776"/>
      <c r="D388" s="1777"/>
      <c r="E388" s="1777"/>
      <c r="F388" s="1777">
        <f t="shared" ref="F388:F391" si="41">D388*E388</f>
        <v>0</v>
      </c>
      <c r="G388" s="1777"/>
      <c r="H388" s="2014"/>
      <c r="I388" s="2014"/>
      <c r="J388" s="2014"/>
      <c r="P388" s="1772"/>
      <c r="Q388" s="1772"/>
      <c r="R388" s="1772"/>
      <c r="S388" s="1772"/>
      <c r="T388" s="1772"/>
      <c r="U388" s="1772"/>
      <c r="V388" s="1772"/>
      <c r="W388" s="1772"/>
      <c r="X388" s="1772"/>
      <c r="Y388" s="1772"/>
      <c r="Z388" s="1772"/>
      <c r="AA388" s="1772"/>
      <c r="AB388" s="1772"/>
      <c r="AC388" s="1772"/>
    </row>
    <row r="389" spans="1:29" s="1809" customFormat="1" ht="13.8" x14ac:dyDescent="0.25">
      <c r="A389" s="1779"/>
      <c r="B389" s="2723" t="s">
        <v>2112</v>
      </c>
      <c r="C389" s="2723"/>
      <c r="D389" s="2723"/>
      <c r="E389" s="2723"/>
      <c r="F389" s="1780">
        <f t="shared" si="41"/>
        <v>0</v>
      </c>
      <c r="G389" s="1781">
        <f>SUM(F380:F389)</f>
        <v>12706.94375</v>
      </c>
      <c r="H389" s="2014"/>
      <c r="I389" s="2014"/>
      <c r="J389" s="2014"/>
      <c r="P389" s="1772"/>
      <c r="Q389" s="1772"/>
      <c r="R389" s="1772"/>
      <c r="S389" s="1772"/>
      <c r="T389" s="1772"/>
      <c r="U389" s="1772"/>
      <c r="V389" s="1772"/>
      <c r="W389" s="1772"/>
      <c r="X389" s="1772"/>
      <c r="Y389" s="1772"/>
      <c r="Z389" s="1772"/>
      <c r="AA389" s="1772"/>
      <c r="AB389" s="1772"/>
      <c r="AC389" s="1772"/>
    </row>
    <row r="390" spans="1:29" ht="13.8" x14ac:dyDescent="0.25">
      <c r="A390" s="1775"/>
      <c r="B390" s="1778" t="s">
        <v>2098</v>
      </c>
      <c r="C390" s="1776"/>
      <c r="D390" s="1777"/>
      <c r="E390" s="1777"/>
      <c r="F390" s="1777">
        <f t="shared" si="41"/>
        <v>0</v>
      </c>
      <c r="G390" s="1777"/>
    </row>
    <row r="391" spans="1:29" ht="13.8" x14ac:dyDescent="0.25">
      <c r="A391" s="1786"/>
      <c r="B391" s="1786" t="s">
        <v>2161</v>
      </c>
      <c r="C391" s="1761" t="s">
        <v>1064</v>
      </c>
      <c r="D391" s="1761">
        <v>10</v>
      </c>
      <c r="E391" s="1761">
        <v>280</v>
      </c>
      <c r="F391" s="1761">
        <f t="shared" si="41"/>
        <v>2800</v>
      </c>
      <c r="G391" s="1761"/>
    </row>
    <row r="392" spans="1:29" ht="13.8" x14ac:dyDescent="0.25">
      <c r="A392" s="1775"/>
      <c r="B392" s="1775"/>
      <c r="C392" s="1776"/>
      <c r="D392" s="1777"/>
      <c r="E392" s="1777"/>
      <c r="F392" s="1777"/>
      <c r="G392" s="1777"/>
    </row>
    <row r="393" spans="1:29" ht="13.8" x14ac:dyDescent="0.25">
      <c r="A393" s="1779"/>
      <c r="B393" s="2723" t="s">
        <v>2100</v>
      </c>
      <c r="C393" s="2723"/>
      <c r="D393" s="2723"/>
      <c r="E393" s="2723"/>
      <c r="F393" s="1780">
        <f t="shared" ref="F393" si="42">D393*E393</f>
        <v>0</v>
      </c>
      <c r="G393" s="1781">
        <f>SUM(F391:F393)</f>
        <v>2800</v>
      </c>
    </row>
    <row r="394" spans="1:29" ht="13.8" x14ac:dyDescent="0.25">
      <c r="A394" s="1775"/>
      <c r="B394" s="1778" t="s">
        <v>2115</v>
      </c>
      <c r="C394" s="1776"/>
      <c r="D394" s="1777"/>
      <c r="E394" s="1777"/>
      <c r="F394" s="1777"/>
      <c r="G394" s="1777"/>
    </row>
    <row r="395" spans="1:29" ht="13.8" x14ac:dyDescent="0.25">
      <c r="A395" s="1775"/>
      <c r="B395" s="1775"/>
      <c r="C395" s="1776"/>
      <c r="D395" s="1777"/>
      <c r="E395" s="1777"/>
      <c r="F395" s="1777"/>
      <c r="G395" s="1777"/>
    </row>
    <row r="396" spans="1:29" ht="13.8" x14ac:dyDescent="0.25">
      <c r="A396" s="1775"/>
      <c r="B396" s="1775" t="s">
        <v>2140</v>
      </c>
      <c r="C396" s="1777" t="s">
        <v>2114</v>
      </c>
      <c r="D396" s="1777">
        <v>0.08</v>
      </c>
      <c r="E396" s="1777">
        <v>5000</v>
      </c>
      <c r="F396" s="1777">
        <f>D396*E396</f>
        <v>400</v>
      </c>
      <c r="G396" s="1777"/>
    </row>
    <row r="397" spans="1:29" ht="13.8" x14ac:dyDescent="0.25">
      <c r="A397" s="1775"/>
      <c r="B397" s="1775" t="s">
        <v>2141</v>
      </c>
      <c r="C397" s="1777" t="s">
        <v>2114</v>
      </c>
      <c r="D397" s="1777">
        <v>0.08</v>
      </c>
      <c r="E397" s="1777">
        <v>2000</v>
      </c>
      <c r="F397" s="1777">
        <f>D397*E397</f>
        <v>160</v>
      </c>
      <c r="G397" s="1777"/>
    </row>
    <row r="398" spans="1:29" ht="13.8" x14ac:dyDescent="0.25">
      <c r="A398" s="1775"/>
      <c r="B398" s="1775"/>
      <c r="C398" s="1776"/>
      <c r="D398" s="1777"/>
      <c r="E398" s="1777"/>
      <c r="F398" s="1777"/>
      <c r="G398" s="1777"/>
    </row>
    <row r="399" spans="1:29" ht="13.8" x14ac:dyDescent="0.25">
      <c r="A399" s="1779"/>
      <c r="B399" s="2723" t="s">
        <v>2118</v>
      </c>
      <c r="C399" s="2723"/>
      <c r="D399" s="2723"/>
      <c r="E399" s="2723"/>
      <c r="F399" s="1780">
        <f t="shared" ref="F399" si="43">D399*E399</f>
        <v>0</v>
      </c>
      <c r="G399" s="1781">
        <f>SUM(F395:F399)</f>
        <v>560</v>
      </c>
    </row>
    <row r="400" spans="1:29" ht="13.8" x14ac:dyDescent="0.25">
      <c r="A400" s="1775"/>
      <c r="B400" s="1782"/>
      <c r="C400" s="1782"/>
      <c r="D400" s="1782"/>
      <c r="E400" s="1782"/>
      <c r="F400" s="1777"/>
      <c r="G400" s="1782"/>
    </row>
    <row r="401" spans="1:29" ht="13.8" x14ac:dyDescent="0.25">
      <c r="A401" s="1775"/>
      <c r="B401" s="1782"/>
      <c r="C401" s="1782"/>
      <c r="D401" s="1782"/>
      <c r="E401" s="1782"/>
      <c r="F401" s="1777"/>
      <c r="G401" s="1782"/>
    </row>
    <row r="402" spans="1:29" ht="13.8" x14ac:dyDescent="0.25">
      <c r="A402" s="2716" t="s">
        <v>2162</v>
      </c>
      <c r="B402" s="2716"/>
      <c r="C402" s="2716"/>
      <c r="D402" s="2716"/>
      <c r="E402" s="2716"/>
      <c r="F402" s="2716"/>
      <c r="G402" s="1783">
        <f>G389+G393+G399</f>
        <v>16066.94375</v>
      </c>
    </row>
    <row r="403" spans="1:29" ht="13.8" x14ac:dyDescent="0.25">
      <c r="A403" s="2716" t="s">
        <v>2163</v>
      </c>
      <c r="B403" s="2716"/>
      <c r="C403" s="2716"/>
      <c r="D403" s="2716"/>
      <c r="E403" s="2716"/>
      <c r="F403" s="2716"/>
      <c r="G403" s="1783">
        <f>G402/10</f>
        <v>1606.694375</v>
      </c>
    </row>
    <row r="404" spans="1:29" ht="14.4" thickBot="1" x14ac:dyDescent="0.3">
      <c r="A404" s="2724" t="s">
        <v>2164</v>
      </c>
      <c r="B404" s="2724"/>
      <c r="C404" s="2724"/>
      <c r="D404" s="2724"/>
      <c r="E404" s="2724"/>
      <c r="F404" s="2724"/>
      <c r="G404" s="1810">
        <f>G403/3.28</f>
        <v>489.84584603658539</v>
      </c>
    </row>
    <row r="406" spans="1:29" s="1809" customFormat="1" ht="13.8" thickBot="1" x14ac:dyDescent="0.3">
      <c r="A406" s="1772"/>
      <c r="B406" s="1772"/>
      <c r="C406" s="1772"/>
      <c r="D406" s="1772"/>
      <c r="E406" s="1772"/>
      <c r="F406" s="1772"/>
      <c r="G406" s="1772"/>
      <c r="H406" s="2014"/>
      <c r="I406" s="2014"/>
      <c r="J406" s="2014"/>
      <c r="P406" s="1772"/>
      <c r="Q406" s="1772"/>
      <c r="R406" s="1772"/>
      <c r="S406" s="1772"/>
      <c r="T406" s="1772"/>
      <c r="U406" s="1772"/>
      <c r="V406" s="1772"/>
      <c r="W406" s="1772"/>
      <c r="X406" s="1772"/>
      <c r="Y406" s="1772"/>
      <c r="Z406" s="1772"/>
      <c r="AA406" s="1772"/>
      <c r="AB406" s="1772"/>
      <c r="AC406" s="1772"/>
    </row>
    <row r="407" spans="1:29" s="1809" customFormat="1" ht="13.8" x14ac:dyDescent="0.25">
      <c r="A407" s="2717" t="s">
        <v>2165</v>
      </c>
      <c r="B407" s="2718"/>
      <c r="C407" s="2718"/>
      <c r="D407" s="2718"/>
      <c r="E407" s="2718"/>
      <c r="F407" s="2718"/>
      <c r="G407" s="2719"/>
      <c r="H407" s="2014"/>
      <c r="I407" s="2014"/>
      <c r="J407" s="2014"/>
      <c r="P407" s="1772"/>
      <c r="Q407" s="1772"/>
      <c r="R407" s="1772"/>
      <c r="S407" s="1772"/>
      <c r="T407" s="1772"/>
      <c r="U407" s="1772"/>
      <c r="V407" s="1772"/>
      <c r="W407" s="1772"/>
      <c r="X407" s="1772"/>
      <c r="Y407" s="1772"/>
      <c r="Z407" s="1772"/>
      <c r="AA407" s="1772"/>
      <c r="AB407" s="1772"/>
      <c r="AC407" s="1772"/>
    </row>
    <row r="408" spans="1:29" s="1809" customFormat="1" ht="14.4" thickBot="1" x14ac:dyDescent="0.3">
      <c r="A408" s="2720" t="s">
        <v>2158</v>
      </c>
      <c r="B408" s="2721"/>
      <c r="C408" s="2721"/>
      <c r="D408" s="2721"/>
      <c r="E408" s="2721"/>
      <c r="F408" s="2721"/>
      <c r="G408" s="2722"/>
      <c r="H408" s="2014"/>
      <c r="I408" s="2014"/>
      <c r="J408" s="2014"/>
      <c r="P408" s="1772"/>
      <c r="Q408" s="1772"/>
      <c r="R408" s="1772"/>
      <c r="S408" s="1772"/>
      <c r="T408" s="1772"/>
      <c r="U408" s="1772"/>
      <c r="V408" s="1772"/>
      <c r="W408" s="1772"/>
      <c r="X408" s="1772"/>
      <c r="Y408" s="1772"/>
      <c r="Z408" s="1772"/>
      <c r="AA408" s="1772"/>
      <c r="AB408" s="1772"/>
      <c r="AC408" s="1772"/>
    </row>
    <row r="409" spans="1:29" s="1809" customFormat="1" ht="14.4" thickBot="1" x14ac:dyDescent="0.3">
      <c r="A409" s="1773"/>
      <c r="B409" s="1774" t="s">
        <v>2094</v>
      </c>
      <c r="C409" s="1774" t="s">
        <v>2095</v>
      </c>
      <c r="D409" s="1774" t="s">
        <v>2</v>
      </c>
      <c r="E409" s="1774" t="s">
        <v>2096</v>
      </c>
      <c r="F409" s="1774" t="s">
        <v>5</v>
      </c>
      <c r="G409" s="1774" t="s">
        <v>2097</v>
      </c>
      <c r="H409" s="2014"/>
      <c r="I409" s="2014"/>
      <c r="J409" s="2014"/>
      <c r="P409" s="1772"/>
      <c r="Q409" s="1772"/>
      <c r="R409" s="1772"/>
      <c r="S409" s="1772"/>
      <c r="T409" s="1772"/>
      <c r="U409" s="1772"/>
      <c r="V409" s="1772"/>
      <c r="W409" s="1772"/>
      <c r="X409" s="1772"/>
      <c r="Y409" s="1772"/>
      <c r="Z409" s="1772"/>
      <c r="AA409" s="1772"/>
      <c r="AB409" s="1772"/>
      <c r="AC409" s="1772"/>
    </row>
    <row r="410" spans="1:29" s="1809" customFormat="1" ht="13.8" x14ac:dyDescent="0.25">
      <c r="A410" s="1775"/>
      <c r="B410" s="1775"/>
      <c r="C410" s="1776"/>
      <c r="D410" s="1777"/>
      <c r="E410" s="1777"/>
      <c r="F410" s="1777"/>
      <c r="G410" s="1777"/>
      <c r="H410" s="2014"/>
      <c r="I410" s="2014"/>
      <c r="J410" s="2014"/>
      <c r="P410" s="1772"/>
      <c r="Q410" s="1772"/>
      <c r="R410" s="1772"/>
      <c r="S410" s="1772"/>
      <c r="T410" s="1772"/>
      <c r="U410" s="1772"/>
      <c r="V410" s="1772"/>
      <c r="W410" s="1772"/>
      <c r="X410" s="1772"/>
      <c r="Y410" s="1772"/>
      <c r="Z410" s="1772"/>
      <c r="AA410" s="1772"/>
      <c r="AB410" s="1772"/>
      <c r="AC410" s="1772"/>
    </row>
    <row r="411" spans="1:29" s="1809" customFormat="1" ht="13.8" x14ac:dyDescent="0.25">
      <c r="A411" s="1775"/>
      <c r="B411" s="1778"/>
      <c r="C411" s="1776"/>
      <c r="D411" s="1777"/>
      <c r="E411" s="1777"/>
      <c r="F411" s="1777"/>
      <c r="G411" s="1777"/>
      <c r="H411" s="2014"/>
      <c r="I411" s="2014"/>
      <c r="J411" s="2014"/>
      <c r="P411" s="1772"/>
      <c r="Q411" s="1772"/>
      <c r="R411" s="1772"/>
      <c r="S411" s="1772"/>
      <c r="T411" s="1772"/>
      <c r="U411" s="1772"/>
      <c r="V411" s="1772"/>
      <c r="W411" s="1772"/>
      <c r="X411" s="1772"/>
      <c r="Y411" s="1772"/>
      <c r="Z411" s="1772"/>
      <c r="AA411" s="1772"/>
      <c r="AB411" s="1772"/>
      <c r="AC411" s="1772"/>
    </row>
    <row r="412" spans="1:29" s="1809" customFormat="1" ht="13.8" x14ac:dyDescent="0.25">
      <c r="A412" s="1775"/>
      <c r="B412" s="1775" t="s">
        <v>2149</v>
      </c>
      <c r="C412" s="1777" t="s">
        <v>131</v>
      </c>
      <c r="D412" s="1777">
        <v>0.08</v>
      </c>
      <c r="E412" s="1757"/>
      <c r="F412" s="1777">
        <f t="shared" ref="F412" si="44">F410*10%</f>
        <v>0</v>
      </c>
      <c r="G412" s="1777"/>
      <c r="H412" s="2014"/>
      <c r="I412" s="2014">
        <f>0.15*0.15*10</f>
        <v>0.22499999999999998</v>
      </c>
      <c r="J412" s="2077">
        <f>I412/2.83</f>
        <v>7.9505300353356886E-2</v>
      </c>
      <c r="P412" s="1772"/>
      <c r="Q412" s="1772"/>
      <c r="R412" s="1772"/>
      <c r="S412" s="1772"/>
      <c r="T412" s="1772"/>
      <c r="U412" s="1772"/>
      <c r="V412" s="1772"/>
      <c r="W412" s="1772"/>
      <c r="X412" s="1772"/>
      <c r="Y412" s="1772"/>
      <c r="Z412" s="1772"/>
      <c r="AA412" s="1772"/>
      <c r="AB412" s="1772"/>
      <c r="AC412" s="1772"/>
    </row>
    <row r="413" spans="1:29" s="1809" customFormat="1" ht="13.8" x14ac:dyDescent="0.25">
      <c r="A413" s="1786"/>
      <c r="B413" s="1786" t="s">
        <v>2159</v>
      </c>
      <c r="C413" s="1761" t="s">
        <v>1945</v>
      </c>
      <c r="D413" s="1761">
        <v>2.76</v>
      </c>
      <c r="E413" s="1761">
        <f>F197</f>
        <v>2235.625</v>
      </c>
      <c r="F413" s="1761">
        <f t="shared" ref="F413:F414" si="45">D413*E413</f>
        <v>6170.3249999999998</v>
      </c>
      <c r="G413" s="1761"/>
      <c r="H413" s="2014"/>
      <c r="I413" s="2073">
        <f>J412*0.42</f>
        <v>3.3392226148409893E-2</v>
      </c>
      <c r="J413" s="2014"/>
      <c r="P413" s="1772"/>
      <c r="Q413" s="1772"/>
      <c r="R413" s="1772"/>
      <c r="S413" s="1772"/>
      <c r="T413" s="1772"/>
      <c r="U413" s="1772"/>
      <c r="V413" s="1772"/>
      <c r="W413" s="1772"/>
      <c r="X413" s="1772"/>
      <c r="Y413" s="1772"/>
      <c r="Z413" s="1772"/>
      <c r="AA413" s="1772"/>
      <c r="AB413" s="1772"/>
      <c r="AC413" s="1772"/>
    </row>
    <row r="414" spans="1:29" s="1809" customFormat="1" ht="13.8" x14ac:dyDescent="0.25">
      <c r="A414" s="1786"/>
      <c r="B414" s="1802" t="s">
        <v>1947</v>
      </c>
      <c r="C414" s="1761" t="s">
        <v>131</v>
      </c>
      <c r="D414" s="1761">
        <v>0.03</v>
      </c>
      <c r="E414" s="1761">
        <f>Material!E13</f>
        <v>23500</v>
      </c>
      <c r="F414" s="1761">
        <f t="shared" si="45"/>
        <v>705</v>
      </c>
      <c r="G414" s="1761"/>
      <c r="H414" s="2014"/>
      <c r="I414" s="2073">
        <f>J412*0.82</f>
        <v>6.5194346289752639E-2</v>
      </c>
      <c r="J414" s="2014"/>
      <c r="P414" s="1772"/>
      <c r="Q414" s="1772"/>
      <c r="R414" s="1772"/>
      <c r="S414" s="1772"/>
      <c r="T414" s="1772"/>
      <c r="U414" s="1772"/>
      <c r="V414" s="1772"/>
      <c r="W414" s="1772"/>
      <c r="X414" s="1772"/>
      <c r="Y414" s="1772"/>
      <c r="Z414" s="1772"/>
      <c r="AA414" s="1772"/>
      <c r="AB414" s="1772"/>
      <c r="AC414" s="1772"/>
    </row>
    <row r="415" spans="1:29" s="1809" customFormat="1" ht="13.8" x14ac:dyDescent="0.25">
      <c r="A415" s="1786"/>
      <c r="B415" s="1753" t="s">
        <v>2147</v>
      </c>
      <c r="C415" s="1761" t="s">
        <v>131</v>
      </c>
      <c r="D415" s="1761">
        <v>7.0000000000000007E-2</v>
      </c>
      <c r="E415" s="1761">
        <f>Material!E17</f>
        <v>13500</v>
      </c>
      <c r="F415" s="1761">
        <f>D415*E415</f>
        <v>945.00000000000011</v>
      </c>
      <c r="G415" s="1761"/>
      <c r="H415" s="2014"/>
      <c r="I415" s="2014"/>
      <c r="J415" s="2014"/>
      <c r="P415" s="1772"/>
      <c r="Q415" s="1772"/>
      <c r="R415" s="1772"/>
      <c r="S415" s="1772"/>
      <c r="T415" s="1772"/>
      <c r="U415" s="1772"/>
      <c r="V415" s="1772"/>
      <c r="W415" s="1772"/>
      <c r="X415" s="1772"/>
      <c r="Y415" s="1772"/>
      <c r="Z415" s="1772"/>
      <c r="AA415" s="1772"/>
      <c r="AB415" s="1772"/>
      <c r="AC415" s="1772"/>
    </row>
    <row r="416" spans="1:29" s="1809" customFormat="1" ht="13.8" x14ac:dyDescent="0.25">
      <c r="A416" s="1775"/>
      <c r="B416" s="1776"/>
      <c r="C416" s="1777"/>
      <c r="D416" s="1777"/>
      <c r="E416" s="1777"/>
      <c r="F416" s="1777">
        <f t="shared" ref="F416:F417" si="46">D416*E416</f>
        <v>0</v>
      </c>
      <c r="G416" s="1777"/>
      <c r="H416" s="2014"/>
      <c r="I416" s="2014"/>
      <c r="J416" s="2014"/>
      <c r="P416" s="1772"/>
      <c r="Q416" s="1772"/>
      <c r="R416" s="1772"/>
      <c r="S416" s="1772"/>
      <c r="T416" s="1772"/>
      <c r="U416" s="1772"/>
      <c r="V416" s="1772"/>
      <c r="W416" s="1772"/>
      <c r="X416" s="1772"/>
      <c r="Y416" s="1772"/>
      <c r="Z416" s="1772"/>
      <c r="AA416" s="1772"/>
      <c r="AB416" s="1772"/>
      <c r="AC416" s="1772"/>
    </row>
    <row r="417" spans="1:29" s="1809" customFormat="1" ht="13.8" x14ac:dyDescent="0.25">
      <c r="A417" s="1786"/>
      <c r="B417" s="1753" t="s">
        <v>2160</v>
      </c>
      <c r="C417" s="1761" t="s">
        <v>134</v>
      </c>
      <c r="D417" s="1761">
        <v>34.880000000000003</v>
      </c>
      <c r="E417" s="1761">
        <f>F562</f>
        <v>375.9375</v>
      </c>
      <c r="F417" s="1761">
        <f t="shared" si="46"/>
        <v>13112.7</v>
      </c>
      <c r="G417" s="1761"/>
      <c r="H417" s="2014"/>
      <c r="I417" s="2014">
        <f>11*4*0.617</f>
        <v>27.148</v>
      </c>
      <c r="J417" s="2014"/>
      <c r="P417" s="1772"/>
      <c r="Q417" s="1772"/>
      <c r="R417" s="1772"/>
      <c r="S417" s="1772"/>
      <c r="T417" s="1772"/>
      <c r="U417" s="1772"/>
      <c r="V417" s="1772"/>
      <c r="W417" s="1772"/>
      <c r="X417" s="1772"/>
      <c r="Y417" s="1772"/>
      <c r="Z417" s="1772"/>
      <c r="AA417" s="1772"/>
      <c r="AB417" s="1772"/>
      <c r="AC417" s="1772"/>
    </row>
    <row r="418" spans="1:29" s="1809" customFormat="1" ht="13.8" x14ac:dyDescent="0.25">
      <c r="A418" s="1775"/>
      <c r="B418" s="1776"/>
      <c r="C418" s="1777"/>
      <c r="D418" s="1777"/>
      <c r="E418" s="1777"/>
      <c r="F418" s="1777"/>
      <c r="G418" s="1777"/>
      <c r="H418" s="2014"/>
      <c r="I418" s="2014">
        <f>0.52*67*0.222</f>
        <v>7.7344800000000005</v>
      </c>
      <c r="J418" s="2014"/>
      <c r="P418" s="1772"/>
      <c r="Q418" s="1772"/>
      <c r="R418" s="1772"/>
      <c r="S418" s="1772"/>
      <c r="T418" s="1772"/>
      <c r="U418" s="1772"/>
      <c r="V418" s="1772"/>
      <c r="W418" s="1772"/>
      <c r="X418" s="1772"/>
      <c r="Y418" s="1772"/>
      <c r="Z418" s="1772"/>
      <c r="AA418" s="1772"/>
      <c r="AB418" s="1772"/>
      <c r="AC418" s="1772"/>
    </row>
    <row r="419" spans="1:29" s="1809" customFormat="1" ht="13.8" x14ac:dyDescent="0.25">
      <c r="A419" s="1775"/>
      <c r="B419" s="1775"/>
      <c r="C419" s="1776"/>
      <c r="D419" s="1777"/>
      <c r="E419" s="1777"/>
      <c r="F419" s="1777">
        <f t="shared" ref="F419:F422" si="47">D419*E419</f>
        <v>0</v>
      </c>
      <c r="G419" s="1777"/>
      <c r="H419" s="2014"/>
      <c r="I419" s="2014"/>
      <c r="J419" s="2014"/>
      <c r="P419" s="1772"/>
      <c r="Q419" s="1772"/>
      <c r="R419" s="1772"/>
      <c r="S419" s="1772"/>
      <c r="T419" s="1772"/>
      <c r="U419" s="1772"/>
      <c r="V419" s="1772"/>
      <c r="W419" s="1772"/>
      <c r="X419" s="1772"/>
      <c r="Y419" s="1772"/>
      <c r="Z419" s="1772"/>
      <c r="AA419" s="1772"/>
      <c r="AB419" s="1772"/>
      <c r="AC419" s="1772"/>
    </row>
    <row r="420" spans="1:29" s="1809" customFormat="1" ht="13.8" x14ac:dyDescent="0.25">
      <c r="A420" s="1779"/>
      <c r="B420" s="2723" t="s">
        <v>2112</v>
      </c>
      <c r="C420" s="2723"/>
      <c r="D420" s="2723"/>
      <c r="E420" s="2723"/>
      <c r="F420" s="1780">
        <f t="shared" si="47"/>
        <v>0</v>
      </c>
      <c r="G420" s="1781">
        <f>SUM(F411:F420)</f>
        <v>20933.025000000001</v>
      </c>
      <c r="H420" s="2014"/>
      <c r="I420" s="2014"/>
      <c r="J420" s="2014"/>
      <c r="P420" s="1772"/>
      <c r="Q420" s="1772"/>
      <c r="R420" s="1772"/>
      <c r="S420" s="1772"/>
      <c r="T420" s="1772"/>
      <c r="U420" s="1772"/>
      <c r="V420" s="1772"/>
      <c r="W420" s="1772"/>
      <c r="X420" s="1772"/>
      <c r="Y420" s="1772"/>
      <c r="Z420" s="1772"/>
      <c r="AA420" s="1772"/>
      <c r="AB420" s="1772"/>
      <c r="AC420" s="1772"/>
    </row>
    <row r="421" spans="1:29" s="1809" customFormat="1" ht="13.8" x14ac:dyDescent="0.25">
      <c r="A421" s="1775"/>
      <c r="B421" s="1778" t="s">
        <v>2098</v>
      </c>
      <c r="C421" s="1776"/>
      <c r="D421" s="1777"/>
      <c r="E421" s="1777"/>
      <c r="F421" s="1777">
        <f t="shared" si="47"/>
        <v>0</v>
      </c>
      <c r="G421" s="1777"/>
      <c r="H421" s="2014"/>
      <c r="I421" s="2014"/>
      <c r="J421" s="2014"/>
      <c r="P421" s="1772"/>
      <c r="Q421" s="1772"/>
      <c r="R421" s="1772"/>
      <c r="S421" s="1772"/>
      <c r="T421" s="1772"/>
      <c r="U421" s="1772"/>
      <c r="V421" s="1772"/>
      <c r="W421" s="1772"/>
      <c r="X421" s="1772"/>
      <c r="Y421" s="1772"/>
      <c r="Z421" s="1772"/>
      <c r="AA421" s="1772"/>
      <c r="AB421" s="1772"/>
      <c r="AC421" s="1772"/>
    </row>
    <row r="422" spans="1:29" ht="13.8" x14ac:dyDescent="0.25">
      <c r="A422" s="1786"/>
      <c r="B422" s="1786" t="s">
        <v>2161</v>
      </c>
      <c r="C422" s="1761" t="s">
        <v>1064</v>
      </c>
      <c r="D422" s="1761">
        <v>10</v>
      </c>
      <c r="E422" s="1761">
        <v>300</v>
      </c>
      <c r="F422" s="1761">
        <f t="shared" si="47"/>
        <v>3000</v>
      </c>
      <c r="G422" s="1761"/>
    </row>
    <row r="423" spans="1:29" ht="13.8" x14ac:dyDescent="0.25">
      <c r="A423" s="1775"/>
      <c r="B423" s="1775"/>
      <c r="C423" s="1776"/>
      <c r="D423" s="1777"/>
      <c r="E423" s="1777"/>
      <c r="F423" s="1777"/>
      <c r="G423" s="1777"/>
    </row>
    <row r="424" spans="1:29" ht="13.8" x14ac:dyDescent="0.25">
      <c r="A424" s="1779"/>
      <c r="B424" s="2723" t="s">
        <v>2100</v>
      </c>
      <c r="C424" s="2723"/>
      <c r="D424" s="2723"/>
      <c r="E424" s="2723"/>
      <c r="F424" s="1780">
        <f t="shared" ref="F424" si="48">D424*E424</f>
        <v>0</v>
      </c>
      <c r="G424" s="1781">
        <f>SUM(F422:F424)</f>
        <v>3000</v>
      </c>
    </row>
    <row r="425" spans="1:29" ht="13.8" x14ac:dyDescent="0.25">
      <c r="A425" s="1775"/>
      <c r="B425" s="1778" t="s">
        <v>2115</v>
      </c>
      <c r="C425" s="1776"/>
      <c r="D425" s="1777"/>
      <c r="E425" s="1777"/>
      <c r="F425" s="1777"/>
      <c r="G425" s="1777"/>
    </row>
    <row r="426" spans="1:29" ht="13.8" x14ac:dyDescent="0.25">
      <c r="A426" s="1775"/>
      <c r="B426" s="1775"/>
      <c r="C426" s="1776"/>
      <c r="D426" s="1777"/>
      <c r="E426" s="1777"/>
      <c r="F426" s="1777"/>
      <c r="G426" s="1777"/>
    </row>
    <row r="427" spans="1:29" ht="13.8" x14ac:dyDescent="0.25">
      <c r="A427" s="1775"/>
      <c r="B427" s="1775" t="s">
        <v>2140</v>
      </c>
      <c r="C427" s="1777" t="s">
        <v>2114</v>
      </c>
      <c r="D427" s="1777">
        <v>0.08</v>
      </c>
      <c r="E427" s="1777">
        <v>5000</v>
      </c>
      <c r="F427" s="1777">
        <f>D427*E427</f>
        <v>400</v>
      </c>
      <c r="G427" s="1777"/>
    </row>
    <row r="428" spans="1:29" ht="13.8" x14ac:dyDescent="0.25">
      <c r="A428" s="1775"/>
      <c r="B428" s="1775" t="s">
        <v>2141</v>
      </c>
      <c r="C428" s="1777" t="s">
        <v>2114</v>
      </c>
      <c r="D428" s="1777">
        <v>0.08</v>
      </c>
      <c r="E428" s="1777">
        <v>2000</v>
      </c>
      <c r="F428" s="1777">
        <f>D428*E428</f>
        <v>160</v>
      </c>
      <c r="G428" s="1777"/>
    </row>
    <row r="429" spans="1:29" ht="13.8" x14ac:dyDescent="0.25">
      <c r="A429" s="1775"/>
      <c r="B429" s="1775"/>
      <c r="C429" s="1776"/>
      <c r="D429" s="1777"/>
      <c r="E429" s="1777"/>
      <c r="F429" s="1777"/>
      <c r="G429" s="1777"/>
    </row>
    <row r="430" spans="1:29" ht="13.8" x14ac:dyDescent="0.25">
      <c r="A430" s="1779"/>
      <c r="B430" s="2723" t="s">
        <v>2118</v>
      </c>
      <c r="C430" s="2723"/>
      <c r="D430" s="2723"/>
      <c r="E430" s="2723"/>
      <c r="F430" s="1780">
        <f t="shared" ref="F430" si="49">D430*E430</f>
        <v>0</v>
      </c>
      <c r="G430" s="1781">
        <f>SUM(F426:F430)</f>
        <v>560</v>
      </c>
    </row>
    <row r="431" spans="1:29" ht="13.8" x14ac:dyDescent="0.25">
      <c r="A431" s="1775"/>
      <c r="B431" s="1782"/>
      <c r="C431" s="1782"/>
      <c r="D431" s="1782"/>
      <c r="E431" s="1782"/>
      <c r="F431" s="1777"/>
      <c r="G431" s="1782"/>
    </row>
    <row r="432" spans="1:29" ht="13.8" x14ac:dyDescent="0.25">
      <c r="A432" s="1775"/>
      <c r="B432" s="1782"/>
      <c r="C432" s="1782"/>
      <c r="D432" s="1782"/>
      <c r="E432" s="1782"/>
      <c r="F432" s="1777"/>
      <c r="G432" s="1782"/>
    </row>
    <row r="433" spans="1:15" ht="13.8" x14ac:dyDescent="0.25">
      <c r="A433" s="2716" t="s">
        <v>2162</v>
      </c>
      <c r="B433" s="2716"/>
      <c r="C433" s="2716"/>
      <c r="D433" s="2716"/>
      <c r="E433" s="2716"/>
      <c r="F433" s="2716"/>
      <c r="G433" s="1783">
        <f>G420+G424+G430</f>
        <v>24493.025000000001</v>
      </c>
    </row>
    <row r="434" spans="1:15" ht="13.8" x14ac:dyDescent="0.25">
      <c r="A434" s="2716" t="s">
        <v>2163</v>
      </c>
      <c r="B434" s="2716"/>
      <c r="C434" s="2716"/>
      <c r="D434" s="2716"/>
      <c r="E434" s="2716"/>
      <c r="F434" s="2716"/>
      <c r="G434" s="1783">
        <f>G433/10</f>
        <v>2449.3025000000002</v>
      </c>
    </row>
    <row r="435" spans="1:15" ht="14.4" thickBot="1" x14ac:dyDescent="0.3">
      <c r="A435" s="2724" t="s">
        <v>2164</v>
      </c>
      <c r="B435" s="2724"/>
      <c r="C435" s="2724"/>
      <c r="D435" s="2724"/>
      <c r="E435" s="2724"/>
      <c r="F435" s="2724"/>
      <c r="G435" s="1810">
        <f>G434/3.28</f>
        <v>746.73856707317088</v>
      </c>
    </row>
    <row r="438" spans="1:15" ht="13.8" thickBot="1" x14ac:dyDescent="0.3"/>
    <row r="439" spans="1:15" ht="13.8" x14ac:dyDescent="0.25">
      <c r="A439" s="2717" t="s">
        <v>2166</v>
      </c>
      <c r="B439" s="2718"/>
      <c r="C439" s="2718"/>
      <c r="D439" s="2718"/>
      <c r="E439" s="2718"/>
      <c r="F439" s="2718"/>
      <c r="G439" s="2719"/>
      <c r="K439" s="1812" t="s">
        <v>0</v>
      </c>
      <c r="L439" s="1812" t="s">
        <v>2167</v>
      </c>
      <c r="M439" s="1812" t="s">
        <v>2168</v>
      </c>
      <c r="N439" s="1812" t="s">
        <v>2169</v>
      </c>
      <c r="O439" s="1812" t="s">
        <v>2097</v>
      </c>
    </row>
    <row r="440" spans="1:15" ht="14.4" thickBot="1" x14ac:dyDescent="0.3">
      <c r="A440" s="2720" t="s">
        <v>2158</v>
      </c>
      <c r="B440" s="2721"/>
      <c r="C440" s="2721"/>
      <c r="D440" s="2721"/>
      <c r="E440" s="2721"/>
      <c r="F440" s="2721"/>
      <c r="G440" s="2722"/>
      <c r="K440" s="1813"/>
      <c r="L440" s="1813"/>
      <c r="M440" s="1813"/>
      <c r="N440" s="1813"/>
      <c r="O440" s="1813"/>
    </row>
    <row r="441" spans="1:15" ht="14.4" thickBot="1" x14ac:dyDescent="0.3">
      <c r="A441" s="1773"/>
      <c r="B441" s="1774" t="s">
        <v>2094</v>
      </c>
      <c r="C441" s="1774" t="s">
        <v>2095</v>
      </c>
      <c r="D441" s="1774" t="s">
        <v>2</v>
      </c>
      <c r="E441" s="1774" t="s">
        <v>2096</v>
      </c>
      <c r="F441" s="1774" t="s">
        <v>5</v>
      </c>
      <c r="G441" s="1774" t="s">
        <v>2097</v>
      </c>
      <c r="K441" s="1813"/>
      <c r="L441" s="1813"/>
      <c r="M441" s="1813"/>
      <c r="N441" s="1813"/>
      <c r="O441" s="1813"/>
    </row>
    <row r="442" spans="1:15" ht="13.8" x14ac:dyDescent="0.25">
      <c r="A442" s="1775"/>
      <c r="B442" s="1775"/>
      <c r="C442" s="1776"/>
      <c r="D442" s="1777"/>
      <c r="E442" s="1777"/>
      <c r="F442" s="1777"/>
      <c r="G442" s="1777"/>
      <c r="K442" s="1813">
        <v>1</v>
      </c>
      <c r="L442" s="1813">
        <v>10</v>
      </c>
      <c r="M442" s="1813">
        <v>0.23</v>
      </c>
      <c r="N442" s="1813">
        <v>0.15</v>
      </c>
      <c r="O442" s="1813">
        <f>PRODUCT(K442,L442,M442,N442)</f>
        <v>0.34500000000000003</v>
      </c>
    </row>
    <row r="443" spans="1:15" ht="14.4" thickBot="1" x14ac:dyDescent="0.3">
      <c r="A443" s="1775"/>
      <c r="B443" s="1778"/>
      <c r="C443" s="1776"/>
      <c r="D443" s="1777"/>
      <c r="E443" s="1777"/>
      <c r="F443" s="1777"/>
      <c r="G443" s="1777"/>
      <c r="K443" s="1813"/>
      <c r="L443" s="1813"/>
      <c r="M443" s="1813"/>
      <c r="N443" s="1813"/>
      <c r="O443" s="1814">
        <f>O442/2.83</f>
        <v>0.12190812720848057</v>
      </c>
    </row>
    <row r="444" spans="1:15" ht="14.4" thickTop="1" x14ac:dyDescent="0.25">
      <c r="A444" s="1775"/>
      <c r="B444" s="1775" t="s">
        <v>2149</v>
      </c>
      <c r="C444" s="1777" t="s">
        <v>131</v>
      </c>
      <c r="D444" s="1777">
        <f>0.12</f>
        <v>0.12</v>
      </c>
      <c r="E444" s="1757"/>
      <c r="F444" s="1777">
        <f t="shared" ref="F444" si="50">F442*10%</f>
        <v>0</v>
      </c>
      <c r="G444" s="1777"/>
      <c r="K444" s="1813"/>
      <c r="L444" s="1813"/>
      <c r="M444" s="1813"/>
      <c r="N444" s="1813"/>
      <c r="O444" s="1815"/>
    </row>
    <row r="445" spans="1:15" ht="13.8" x14ac:dyDescent="0.25">
      <c r="A445" s="1786"/>
      <c r="B445" s="1786" t="s">
        <v>2159</v>
      </c>
      <c r="C445" s="1761" t="s">
        <v>1945</v>
      </c>
      <c r="D445" s="1761">
        <v>2.76</v>
      </c>
      <c r="E445" s="1761">
        <f>F197</f>
        <v>2235.625</v>
      </c>
      <c r="F445" s="1761">
        <f t="shared" ref="F445:F446" si="51">D445*E445</f>
        <v>6170.3249999999998</v>
      </c>
      <c r="G445" s="1761"/>
      <c r="H445" s="2073">
        <f>D444*23</f>
        <v>2.76</v>
      </c>
      <c r="K445" s="1813"/>
      <c r="L445" s="1813"/>
      <c r="M445" s="1813"/>
      <c r="N445" s="1813"/>
      <c r="O445" s="1813"/>
    </row>
    <row r="446" spans="1:15" ht="13.8" x14ac:dyDescent="0.25">
      <c r="A446" s="1786"/>
      <c r="B446" s="1802" t="s">
        <v>1947</v>
      </c>
      <c r="C446" s="1761" t="s">
        <v>131</v>
      </c>
      <c r="D446" s="1761">
        <v>0.06</v>
      </c>
      <c r="E446" s="1761">
        <f>Material!E13</f>
        <v>23500</v>
      </c>
      <c r="F446" s="1761">
        <f t="shared" si="51"/>
        <v>1410</v>
      </c>
      <c r="G446" s="1761"/>
      <c r="H446" s="2073">
        <f>D444*0.42</f>
        <v>5.0399999999999993E-2</v>
      </c>
      <c r="K446" s="1813">
        <v>24</v>
      </c>
      <c r="L446" s="1813">
        <v>0.75</v>
      </c>
      <c r="M446" s="1813"/>
      <c r="N446" s="1813">
        <v>0.62</v>
      </c>
      <c r="O446" s="1813">
        <f>PRODUCT(K446,L446,M446,N446)</f>
        <v>11.16</v>
      </c>
    </row>
    <row r="447" spans="1:15" ht="13.8" x14ac:dyDescent="0.25">
      <c r="A447" s="1786"/>
      <c r="B447" s="1753" t="s">
        <v>2147</v>
      </c>
      <c r="C447" s="1761" t="s">
        <v>131</v>
      </c>
      <c r="D447" s="1761">
        <v>0.11</v>
      </c>
      <c r="E447" s="1761">
        <f>Material!E17</f>
        <v>13500</v>
      </c>
      <c r="F447" s="1761">
        <f>D447*E447</f>
        <v>1485</v>
      </c>
      <c r="G447" s="1761"/>
      <c r="H447" s="2073">
        <f>D444*0.82</f>
        <v>9.8399999999999987E-2</v>
      </c>
      <c r="K447" s="1813">
        <v>4</v>
      </c>
      <c r="L447" s="1813">
        <v>3.5</v>
      </c>
      <c r="M447" s="1813"/>
      <c r="N447" s="1813">
        <v>0.62</v>
      </c>
      <c r="O447" s="1813">
        <f>PRODUCT(K447,L447,M447,N447)</f>
        <v>8.68</v>
      </c>
    </row>
    <row r="448" spans="1:15" ht="13.8" x14ac:dyDescent="0.25">
      <c r="A448" s="1775"/>
      <c r="B448" s="1776"/>
      <c r="C448" s="1777"/>
      <c r="D448" s="1777"/>
      <c r="E448" s="1777"/>
      <c r="F448" s="1777">
        <f t="shared" ref="F448:F449" si="52">D448*E448</f>
        <v>0</v>
      </c>
      <c r="G448" s="1777"/>
      <c r="K448" s="1813"/>
      <c r="L448" s="1813"/>
      <c r="M448" s="1813"/>
      <c r="N448" s="1813"/>
      <c r="O448" s="1813"/>
    </row>
    <row r="449" spans="1:15" ht="13.8" x14ac:dyDescent="0.25">
      <c r="A449" s="1786"/>
      <c r="B449" s="1753" t="s">
        <v>2160</v>
      </c>
      <c r="C449" s="1761" t="s">
        <v>134</v>
      </c>
      <c r="D449" s="1761">
        <v>37.26</v>
      </c>
      <c r="E449" s="1761">
        <f>F562</f>
        <v>375.9375</v>
      </c>
      <c r="F449" s="1761">
        <f t="shared" si="52"/>
        <v>14007.43125</v>
      </c>
      <c r="G449" s="1761"/>
      <c r="H449" s="2014">
        <f>11*4*0.617</f>
        <v>27.148</v>
      </c>
      <c r="K449" s="1813"/>
      <c r="L449" s="1813"/>
      <c r="M449" s="1813"/>
      <c r="N449" s="1813"/>
      <c r="O449" s="1816">
        <f>SUM(O446:O447)</f>
        <v>19.84</v>
      </c>
    </row>
    <row r="450" spans="1:15" ht="13.8" x14ac:dyDescent="0.25">
      <c r="A450" s="1775"/>
      <c r="B450" s="1776"/>
      <c r="C450" s="1777"/>
      <c r="D450" s="1777"/>
      <c r="E450" s="1777"/>
      <c r="F450" s="1777"/>
      <c r="G450" s="1777"/>
      <c r="H450" s="2014">
        <f>0.67*68*0.222</f>
        <v>10.114320000000001</v>
      </c>
      <c r="I450" s="2014">
        <f>0.225*0.15*10</f>
        <v>0.33750000000000002</v>
      </c>
      <c r="K450" s="1813"/>
      <c r="L450" s="1813"/>
      <c r="M450" s="1813"/>
      <c r="N450" s="1813"/>
      <c r="O450" s="1813"/>
    </row>
    <row r="451" spans="1:15" ht="13.8" x14ac:dyDescent="0.25">
      <c r="A451" s="1775"/>
      <c r="B451" s="1775"/>
      <c r="C451" s="1776"/>
      <c r="D451" s="1777"/>
      <c r="E451" s="1777"/>
      <c r="F451" s="1777">
        <f t="shared" ref="F451:F454" si="53">D451*E451</f>
        <v>0</v>
      </c>
      <c r="G451" s="1777"/>
      <c r="I451" s="2014">
        <f>I450/2.83</f>
        <v>0.11925795053003534</v>
      </c>
      <c r="K451" s="1813"/>
      <c r="L451" s="1813"/>
      <c r="M451" s="1813"/>
      <c r="N451" s="1813"/>
      <c r="O451" s="1813"/>
    </row>
    <row r="452" spans="1:15" ht="13.8" x14ac:dyDescent="0.25">
      <c r="A452" s="1779"/>
      <c r="B452" s="2723" t="s">
        <v>2112</v>
      </c>
      <c r="C452" s="2723"/>
      <c r="D452" s="2723"/>
      <c r="E452" s="2723"/>
      <c r="F452" s="1780">
        <f t="shared" si="53"/>
        <v>0</v>
      </c>
      <c r="G452" s="1781">
        <f>SUM(F443:F452)</f>
        <v>23072.756249999999</v>
      </c>
      <c r="K452" s="1813"/>
      <c r="L452" s="1813"/>
      <c r="M452" s="1813"/>
      <c r="N452" s="1813"/>
      <c r="O452" s="1813"/>
    </row>
    <row r="453" spans="1:15" ht="13.8" x14ac:dyDescent="0.25">
      <c r="A453" s="1775"/>
      <c r="B453" s="1778" t="s">
        <v>2098</v>
      </c>
      <c r="C453" s="1776"/>
      <c r="D453" s="1777"/>
      <c r="E453" s="1777"/>
      <c r="F453" s="1777">
        <f t="shared" si="53"/>
        <v>0</v>
      </c>
      <c r="G453" s="1777"/>
      <c r="K453" s="1813"/>
      <c r="L453" s="1813"/>
      <c r="M453" s="1813"/>
      <c r="N453" s="1813"/>
      <c r="O453" s="1813"/>
    </row>
    <row r="454" spans="1:15" ht="13.8" x14ac:dyDescent="0.25">
      <c r="A454" s="1786"/>
      <c r="B454" s="1786" t="s">
        <v>2161</v>
      </c>
      <c r="C454" s="1761" t="s">
        <v>1064</v>
      </c>
      <c r="D454" s="1761">
        <v>10</v>
      </c>
      <c r="E454" s="1761">
        <v>325</v>
      </c>
      <c r="F454" s="1761">
        <f t="shared" si="53"/>
        <v>3250</v>
      </c>
      <c r="G454" s="1761"/>
      <c r="K454" s="1813"/>
      <c r="L454" s="1813"/>
      <c r="M454" s="1813"/>
      <c r="N454" s="1813"/>
      <c r="O454" s="1813"/>
    </row>
    <row r="455" spans="1:15" ht="13.8" x14ac:dyDescent="0.25">
      <c r="A455" s="1775"/>
      <c r="B455" s="1775"/>
      <c r="C455" s="1776"/>
      <c r="D455" s="1777"/>
      <c r="E455" s="1777"/>
      <c r="F455" s="1777"/>
      <c r="G455" s="1777"/>
    </row>
    <row r="456" spans="1:15" ht="13.8" x14ac:dyDescent="0.25">
      <c r="A456" s="1779"/>
      <c r="B456" s="2723" t="s">
        <v>2100</v>
      </c>
      <c r="C456" s="2723"/>
      <c r="D456" s="2723"/>
      <c r="E456" s="2723"/>
      <c r="F456" s="1780">
        <f t="shared" ref="F456" si="54">D456*E456</f>
        <v>0</v>
      </c>
      <c r="G456" s="1781">
        <f>SUM(F454:F456)</f>
        <v>3250</v>
      </c>
    </row>
    <row r="457" spans="1:15" ht="13.8" x14ac:dyDescent="0.25">
      <c r="A457" s="1775"/>
      <c r="B457" s="1778" t="s">
        <v>2115</v>
      </c>
      <c r="C457" s="1776"/>
      <c r="D457" s="1777"/>
      <c r="E457" s="1777"/>
      <c r="F457" s="1777"/>
      <c r="G457" s="1777"/>
    </row>
    <row r="458" spans="1:15" ht="13.8" x14ac:dyDescent="0.25">
      <c r="A458" s="1775"/>
      <c r="B458" s="1775"/>
      <c r="C458" s="1776"/>
      <c r="D458" s="1777"/>
      <c r="E458" s="1777"/>
      <c r="F458" s="1777"/>
      <c r="G458" s="1777"/>
    </row>
    <row r="459" spans="1:15" ht="13.8" x14ac:dyDescent="0.25">
      <c r="A459" s="1775"/>
      <c r="B459" s="1775" t="s">
        <v>2140</v>
      </c>
      <c r="C459" s="1777" t="s">
        <v>2114</v>
      </c>
      <c r="D459" s="1777">
        <v>0.08</v>
      </c>
      <c r="E459" s="1777">
        <v>5000</v>
      </c>
      <c r="F459" s="1777">
        <f>D459*E459</f>
        <v>400</v>
      </c>
      <c r="G459" s="1777"/>
    </row>
    <row r="460" spans="1:15" ht="13.8" x14ac:dyDescent="0.25">
      <c r="A460" s="1775"/>
      <c r="B460" s="1775" t="s">
        <v>2141</v>
      </c>
      <c r="C460" s="1777" t="s">
        <v>2114</v>
      </c>
      <c r="D460" s="1777">
        <v>0.08</v>
      </c>
      <c r="E460" s="1777">
        <v>2000</v>
      </c>
      <c r="F460" s="1777">
        <f>D460*E460</f>
        <v>160</v>
      </c>
      <c r="G460" s="1777"/>
    </row>
    <row r="461" spans="1:15" ht="13.8" x14ac:dyDescent="0.25">
      <c r="A461" s="1775"/>
      <c r="B461" s="1775"/>
      <c r="C461" s="1776"/>
      <c r="D461" s="1777"/>
      <c r="E461" s="1777"/>
      <c r="F461" s="1777"/>
      <c r="G461" s="1777"/>
    </row>
    <row r="462" spans="1:15" ht="13.8" x14ac:dyDescent="0.25">
      <c r="A462" s="1779"/>
      <c r="B462" s="2723" t="s">
        <v>2118</v>
      </c>
      <c r="C462" s="2723"/>
      <c r="D462" s="2723"/>
      <c r="E462" s="2723"/>
      <c r="F462" s="1780">
        <f t="shared" ref="F462" si="55">D462*E462</f>
        <v>0</v>
      </c>
      <c r="G462" s="1781">
        <f>SUM(F458:F462)</f>
        <v>560</v>
      </c>
    </row>
    <row r="463" spans="1:15" ht="13.8" x14ac:dyDescent="0.25">
      <c r="A463" s="1775"/>
      <c r="B463" s="1782"/>
      <c r="C463" s="1782"/>
      <c r="D463" s="1782"/>
      <c r="E463" s="1782"/>
      <c r="F463" s="1777"/>
      <c r="G463" s="1782"/>
    </row>
    <row r="464" spans="1:15" ht="13.8" x14ac:dyDescent="0.25">
      <c r="A464" s="1775"/>
      <c r="B464" s="1782"/>
      <c r="C464" s="1782"/>
      <c r="D464" s="1782"/>
      <c r="E464" s="1782"/>
      <c r="F464" s="1777"/>
      <c r="G464" s="1782"/>
    </row>
    <row r="465" spans="1:15" ht="13.8" x14ac:dyDescent="0.25">
      <c r="A465" s="2716" t="s">
        <v>2162</v>
      </c>
      <c r="B465" s="2716"/>
      <c r="C465" s="2716"/>
      <c r="D465" s="2716"/>
      <c r="E465" s="2716"/>
      <c r="F465" s="2716"/>
      <c r="G465" s="1783">
        <f>G452+G456+G462</f>
        <v>26882.756249999999</v>
      </c>
    </row>
    <row r="466" spans="1:15" ht="13.8" x14ac:dyDescent="0.25">
      <c r="A466" s="2716" t="s">
        <v>2163</v>
      </c>
      <c r="B466" s="2716"/>
      <c r="C466" s="2716"/>
      <c r="D466" s="2716"/>
      <c r="E466" s="2716"/>
      <c r="F466" s="2716"/>
      <c r="G466" s="1783">
        <f>G465/10</f>
        <v>2688.2756249999998</v>
      </c>
    </row>
    <row r="467" spans="1:15" ht="14.4" thickBot="1" x14ac:dyDescent="0.3">
      <c r="A467" s="2724" t="s">
        <v>2164</v>
      </c>
      <c r="B467" s="2724"/>
      <c r="C467" s="2724"/>
      <c r="D467" s="2724"/>
      <c r="E467" s="2724"/>
      <c r="F467" s="2724"/>
      <c r="G467" s="1810">
        <f>G466/3.28</f>
        <v>819.59622713414637</v>
      </c>
    </row>
    <row r="469" spans="1:15" ht="13.8" thickBot="1" x14ac:dyDescent="0.3"/>
    <row r="470" spans="1:15" ht="13.8" x14ac:dyDescent="0.25">
      <c r="A470" s="2717" t="s">
        <v>2170</v>
      </c>
      <c r="B470" s="2718"/>
      <c r="C470" s="2718"/>
      <c r="D470" s="2718"/>
      <c r="E470" s="2718"/>
      <c r="F470" s="2718"/>
      <c r="G470" s="2719"/>
      <c r="K470" s="1812" t="s">
        <v>0</v>
      </c>
      <c r="L470" s="1812" t="s">
        <v>2167</v>
      </c>
      <c r="M470" s="1812" t="s">
        <v>2168</v>
      </c>
      <c r="N470" s="1812" t="s">
        <v>2169</v>
      </c>
      <c r="O470" s="1812" t="s">
        <v>2097</v>
      </c>
    </row>
    <row r="471" spans="1:15" ht="14.4" thickBot="1" x14ac:dyDescent="0.3">
      <c r="A471" s="2720" t="s">
        <v>2158</v>
      </c>
      <c r="B471" s="2721"/>
      <c r="C471" s="2721"/>
      <c r="D471" s="2721"/>
      <c r="E471" s="2721"/>
      <c r="F471" s="2721"/>
      <c r="G471" s="2722"/>
      <c r="K471" s="1813"/>
      <c r="L471" s="1813"/>
      <c r="M471" s="1813"/>
      <c r="N471" s="1813"/>
      <c r="O471" s="1813"/>
    </row>
    <row r="472" spans="1:15" ht="14.4" thickBot="1" x14ac:dyDescent="0.3">
      <c r="A472" s="1773"/>
      <c r="B472" s="1774" t="s">
        <v>2094</v>
      </c>
      <c r="C472" s="1774" t="s">
        <v>2095</v>
      </c>
      <c r="D472" s="1774" t="s">
        <v>2</v>
      </c>
      <c r="E472" s="1774" t="s">
        <v>2096</v>
      </c>
      <c r="F472" s="1774" t="s">
        <v>5</v>
      </c>
      <c r="G472" s="1774" t="s">
        <v>2097</v>
      </c>
      <c r="K472" s="1813"/>
      <c r="L472" s="1813"/>
      <c r="M472" s="1813"/>
      <c r="N472" s="1813"/>
      <c r="O472" s="1813"/>
    </row>
    <row r="473" spans="1:15" ht="13.8" x14ac:dyDescent="0.25">
      <c r="A473" s="1775"/>
      <c r="B473" s="1775"/>
      <c r="C473" s="1776"/>
      <c r="D473" s="1777"/>
      <c r="E473" s="1777"/>
      <c r="F473" s="1777"/>
      <c r="G473" s="1777"/>
      <c r="K473" s="1813">
        <v>1</v>
      </c>
      <c r="L473" s="1813">
        <v>10</v>
      </c>
      <c r="M473" s="1813">
        <v>0.23</v>
      </c>
      <c r="N473" s="1813">
        <v>0.15</v>
      </c>
      <c r="O473" s="1813">
        <f>PRODUCT(K473,L473,M473,N473)</f>
        <v>0.34500000000000003</v>
      </c>
    </row>
    <row r="474" spans="1:15" ht="14.4" thickBot="1" x14ac:dyDescent="0.3">
      <c r="A474" s="1775"/>
      <c r="B474" s="1778"/>
      <c r="C474" s="1776"/>
      <c r="D474" s="1777"/>
      <c r="E474" s="1777"/>
      <c r="F474" s="1777"/>
      <c r="G474" s="1777"/>
      <c r="K474" s="1813"/>
      <c r="L474" s="1813"/>
      <c r="M474" s="1813"/>
      <c r="N474" s="1813"/>
      <c r="O474" s="1814">
        <f>O473/2.83</f>
        <v>0.12190812720848057</v>
      </c>
    </row>
    <row r="475" spans="1:15" ht="14.4" thickTop="1" x14ac:dyDescent="0.25">
      <c r="A475" s="1775"/>
      <c r="B475" s="1775" t="s">
        <v>2149</v>
      </c>
      <c r="C475" s="1777" t="s">
        <v>131</v>
      </c>
      <c r="D475" s="1777">
        <v>0.18</v>
      </c>
      <c r="E475" s="1757"/>
      <c r="F475" s="1777">
        <f t="shared" ref="F475" si="56">F473*10%</f>
        <v>0</v>
      </c>
      <c r="G475" s="1777"/>
      <c r="I475" s="2014">
        <f>0.225*0.225*10</f>
        <v>0.50625000000000009</v>
      </c>
      <c r="K475" s="1813"/>
      <c r="L475" s="1813"/>
      <c r="M475" s="1813"/>
      <c r="N475" s="1813"/>
      <c r="O475" s="1815"/>
    </row>
    <row r="476" spans="1:15" ht="13.8" x14ac:dyDescent="0.25">
      <c r="A476" s="1786"/>
      <c r="B476" s="1786" t="s">
        <v>2159</v>
      </c>
      <c r="C476" s="1761" t="s">
        <v>1945</v>
      </c>
      <c r="D476" s="1761">
        <v>4.1399999999999997</v>
      </c>
      <c r="E476" s="1761">
        <f>F197</f>
        <v>2235.625</v>
      </c>
      <c r="F476" s="1761">
        <f t="shared" ref="F476:F477" si="57">D476*E476</f>
        <v>9255.4874999999993</v>
      </c>
      <c r="G476" s="1761"/>
      <c r="H476" s="2073">
        <f>D475*23</f>
        <v>4.1399999999999997</v>
      </c>
      <c r="I476" s="2014">
        <f>I475/2.83</f>
        <v>0.17888692579505303</v>
      </c>
      <c r="K476" s="1813"/>
      <c r="L476" s="1813"/>
      <c r="M476" s="1813"/>
      <c r="N476" s="1813"/>
      <c r="O476" s="1813"/>
    </row>
    <row r="477" spans="1:15" ht="13.8" x14ac:dyDescent="0.25">
      <c r="A477" s="1786"/>
      <c r="B477" s="1802" t="s">
        <v>1947</v>
      </c>
      <c r="C477" s="1761" t="s">
        <v>131</v>
      </c>
      <c r="D477" s="1761">
        <v>0.08</v>
      </c>
      <c r="E477" s="1761">
        <f>Material!E13</f>
        <v>23500</v>
      </c>
      <c r="F477" s="1761">
        <f t="shared" si="57"/>
        <v>1880</v>
      </c>
      <c r="G477" s="1761"/>
      <c r="H477" s="2073">
        <f>D475*0.42</f>
        <v>7.5600000000000001E-2</v>
      </c>
      <c r="K477" s="1813">
        <v>24</v>
      </c>
      <c r="L477" s="1813">
        <v>0.75</v>
      </c>
      <c r="M477" s="1813"/>
      <c r="N477" s="1813">
        <v>0.62</v>
      </c>
      <c r="O477" s="1813">
        <f>PRODUCT(K477,L477,M477,N477)</f>
        <v>11.16</v>
      </c>
    </row>
    <row r="478" spans="1:15" ht="13.8" x14ac:dyDescent="0.25">
      <c r="A478" s="1786"/>
      <c r="B478" s="1753" t="s">
        <v>2147</v>
      </c>
      <c r="C478" s="1761" t="s">
        <v>131</v>
      </c>
      <c r="D478" s="1761">
        <v>0.15</v>
      </c>
      <c r="E478" s="1761">
        <f>Material!E17</f>
        <v>13500</v>
      </c>
      <c r="F478" s="1761">
        <f>D478*E478</f>
        <v>2025</v>
      </c>
      <c r="G478" s="1761"/>
      <c r="H478" s="2073">
        <f>D475*0.82</f>
        <v>0.14759999999999998</v>
      </c>
      <c r="K478" s="1813">
        <v>4</v>
      </c>
      <c r="L478" s="1813">
        <v>3.5</v>
      </c>
      <c r="M478" s="1813"/>
      <c r="N478" s="1813">
        <v>0.62</v>
      </c>
      <c r="O478" s="1813">
        <f>PRODUCT(K478,L478,M478,N478)</f>
        <v>8.68</v>
      </c>
    </row>
    <row r="479" spans="1:15" ht="13.8" x14ac:dyDescent="0.25">
      <c r="A479" s="1775"/>
      <c r="B479" s="1776"/>
      <c r="C479" s="1777"/>
      <c r="D479" s="1777"/>
      <c r="E479" s="1777"/>
      <c r="F479" s="1777">
        <f t="shared" ref="F479:F480" si="58">D479*E479</f>
        <v>0</v>
      </c>
      <c r="G479" s="1777"/>
      <c r="K479" s="1813"/>
      <c r="L479" s="1813"/>
      <c r="M479" s="1813"/>
      <c r="N479" s="1813"/>
      <c r="O479" s="1813"/>
    </row>
    <row r="480" spans="1:15" ht="13.8" x14ac:dyDescent="0.25">
      <c r="A480" s="1786"/>
      <c r="B480" s="1753" t="s">
        <v>2160</v>
      </c>
      <c r="C480" s="1761" t="s">
        <v>134</v>
      </c>
      <c r="D480" s="1761">
        <v>39.53</v>
      </c>
      <c r="E480" s="1761">
        <f>F562</f>
        <v>375.9375</v>
      </c>
      <c r="F480" s="1761">
        <f t="shared" si="58"/>
        <v>14860.809375000001</v>
      </c>
      <c r="G480" s="1761"/>
      <c r="H480" s="2014">
        <f>11*4*0.617</f>
        <v>27.148</v>
      </c>
      <c r="K480" s="1813"/>
      <c r="L480" s="1813"/>
      <c r="M480" s="1813"/>
      <c r="N480" s="1813"/>
      <c r="O480" s="1816">
        <f>SUM(O477:O478)</f>
        <v>19.84</v>
      </c>
    </row>
    <row r="481" spans="1:15" ht="13.8" x14ac:dyDescent="0.25">
      <c r="A481" s="1775"/>
      <c r="B481" s="1776"/>
      <c r="C481" s="1777"/>
      <c r="D481" s="1777"/>
      <c r="E481" s="1777"/>
      <c r="F481" s="1777"/>
      <c r="G481" s="1777"/>
      <c r="H481" s="2014">
        <f>0.82*68*0.222</f>
        <v>12.37872</v>
      </c>
      <c r="I481" s="2014">
        <f>0.225*0.15*10</f>
        <v>0.33750000000000002</v>
      </c>
      <c r="K481" s="1813"/>
      <c r="L481" s="1813"/>
      <c r="M481" s="1813"/>
      <c r="N481" s="1813"/>
      <c r="O481" s="1813"/>
    </row>
    <row r="482" spans="1:15" ht="13.8" x14ac:dyDescent="0.25">
      <c r="A482" s="1775"/>
      <c r="B482" s="1775"/>
      <c r="C482" s="1776"/>
      <c r="D482" s="1777"/>
      <c r="E482" s="1777"/>
      <c r="F482" s="1777">
        <f t="shared" ref="F482:F485" si="59">D482*E482</f>
        <v>0</v>
      </c>
      <c r="G482" s="1777"/>
      <c r="I482" s="2014">
        <f>I481/2.83</f>
        <v>0.11925795053003534</v>
      </c>
      <c r="K482" s="1813"/>
      <c r="L482" s="1813"/>
      <c r="M482" s="1813"/>
      <c r="N482" s="1813"/>
      <c r="O482" s="1813"/>
    </row>
    <row r="483" spans="1:15" ht="13.8" x14ac:dyDescent="0.25">
      <c r="A483" s="1779"/>
      <c r="B483" s="2723" t="s">
        <v>2112</v>
      </c>
      <c r="C483" s="2723"/>
      <c r="D483" s="2723"/>
      <c r="E483" s="2723"/>
      <c r="F483" s="1780">
        <f t="shared" si="59"/>
        <v>0</v>
      </c>
      <c r="G483" s="1781">
        <f>SUM(F474:F483)</f>
        <v>28021.296875</v>
      </c>
      <c r="K483" s="1813"/>
      <c r="L483" s="1813"/>
      <c r="M483" s="1813"/>
      <c r="N483" s="1813"/>
      <c r="O483" s="1813"/>
    </row>
    <row r="484" spans="1:15" ht="13.8" x14ac:dyDescent="0.25">
      <c r="A484" s="1775"/>
      <c r="B484" s="1778" t="s">
        <v>2098</v>
      </c>
      <c r="C484" s="1776"/>
      <c r="D484" s="1777"/>
      <c r="E484" s="1777"/>
      <c r="F484" s="1777">
        <f t="shared" si="59"/>
        <v>0</v>
      </c>
      <c r="G484" s="1777"/>
      <c r="K484" s="1813"/>
      <c r="L484" s="1813"/>
      <c r="M484" s="1813"/>
      <c r="N484" s="1813"/>
      <c r="O484" s="1813"/>
    </row>
    <row r="485" spans="1:15" ht="13.8" x14ac:dyDescent="0.25">
      <c r="A485" s="1786"/>
      <c r="B485" s="1786" t="s">
        <v>2161</v>
      </c>
      <c r="C485" s="1761" t="s">
        <v>1064</v>
      </c>
      <c r="D485" s="1761">
        <v>10</v>
      </c>
      <c r="E485" s="1761">
        <v>375</v>
      </c>
      <c r="F485" s="1761">
        <f t="shared" si="59"/>
        <v>3750</v>
      </c>
      <c r="G485" s="1761"/>
      <c r="K485" s="1813"/>
      <c r="L485" s="1813"/>
      <c r="M485" s="1813"/>
      <c r="N485" s="1813"/>
      <c r="O485" s="1813"/>
    </row>
    <row r="486" spans="1:15" ht="13.8" x14ac:dyDescent="0.25">
      <c r="A486" s="1775"/>
      <c r="B486" s="1775"/>
      <c r="C486" s="1776"/>
      <c r="D486" s="1777"/>
      <c r="E486" s="1777"/>
      <c r="F486" s="1777"/>
      <c r="G486" s="1777"/>
    </row>
    <row r="487" spans="1:15" ht="13.8" x14ac:dyDescent="0.25">
      <c r="A487" s="1779"/>
      <c r="B487" s="2723" t="s">
        <v>2100</v>
      </c>
      <c r="C487" s="2723"/>
      <c r="D487" s="2723"/>
      <c r="E487" s="2723"/>
      <c r="F487" s="1780">
        <f t="shared" ref="F487" si="60">D487*E487</f>
        <v>0</v>
      </c>
      <c r="G487" s="1781">
        <f>SUM(F485:F487)</f>
        <v>3750</v>
      </c>
    </row>
    <row r="488" spans="1:15" ht="13.8" x14ac:dyDescent="0.25">
      <c r="A488" s="1775"/>
      <c r="B488" s="1778" t="s">
        <v>2115</v>
      </c>
      <c r="C488" s="1776"/>
      <c r="D488" s="1777"/>
      <c r="E488" s="1777"/>
      <c r="F488" s="1777"/>
      <c r="G488" s="1777"/>
    </row>
    <row r="489" spans="1:15" ht="13.8" x14ac:dyDescent="0.25">
      <c r="A489" s="1775"/>
      <c r="B489" s="1775"/>
      <c r="C489" s="1776"/>
      <c r="D489" s="1777"/>
      <c r="E489" s="1777"/>
      <c r="F489" s="1777"/>
      <c r="G489" s="1777"/>
    </row>
    <row r="490" spans="1:15" ht="13.8" x14ac:dyDescent="0.25">
      <c r="A490" s="1775"/>
      <c r="B490" s="1775" t="s">
        <v>2140</v>
      </c>
      <c r="C490" s="1777" t="s">
        <v>2114</v>
      </c>
      <c r="D490" s="1777">
        <v>0.08</v>
      </c>
      <c r="E490" s="1777">
        <v>5000</v>
      </c>
      <c r="F490" s="1777">
        <f>D490*E490</f>
        <v>400</v>
      </c>
      <c r="G490" s="1777"/>
    </row>
    <row r="491" spans="1:15" ht="13.8" x14ac:dyDescent="0.25">
      <c r="A491" s="1775"/>
      <c r="B491" s="1775" t="s">
        <v>2141</v>
      </c>
      <c r="C491" s="1777" t="s">
        <v>2114</v>
      </c>
      <c r="D491" s="1777">
        <v>0.08</v>
      </c>
      <c r="E491" s="1777">
        <v>2000</v>
      </c>
      <c r="F491" s="1777">
        <f>D491*E491</f>
        <v>160</v>
      </c>
      <c r="G491" s="1777"/>
    </row>
    <row r="492" spans="1:15" ht="13.8" x14ac:dyDescent="0.25">
      <c r="A492" s="1775"/>
      <c r="B492" s="1775"/>
      <c r="C492" s="1776"/>
      <c r="D492" s="1777"/>
      <c r="E492" s="1777"/>
      <c r="F492" s="1777"/>
      <c r="G492" s="1777"/>
    </row>
    <row r="493" spans="1:15" ht="13.8" x14ac:dyDescent="0.25">
      <c r="A493" s="1779"/>
      <c r="B493" s="2723" t="s">
        <v>2118</v>
      </c>
      <c r="C493" s="2723"/>
      <c r="D493" s="2723"/>
      <c r="E493" s="2723"/>
      <c r="F493" s="1780">
        <f t="shared" ref="F493" si="61">D493*E493</f>
        <v>0</v>
      </c>
      <c r="G493" s="1781">
        <f>SUM(F489:F493)</f>
        <v>560</v>
      </c>
    </row>
    <row r="494" spans="1:15" ht="13.8" x14ac:dyDescent="0.25">
      <c r="A494" s="1775"/>
      <c r="B494" s="1782"/>
      <c r="C494" s="1782"/>
      <c r="D494" s="1782"/>
      <c r="E494" s="1782"/>
      <c r="F494" s="1777"/>
      <c r="G494" s="1782"/>
    </row>
    <row r="495" spans="1:15" ht="13.8" x14ac:dyDescent="0.25">
      <c r="A495" s="1775"/>
      <c r="B495" s="1782"/>
      <c r="C495" s="1782"/>
      <c r="D495" s="1782"/>
      <c r="E495" s="1782"/>
      <c r="F495" s="1777"/>
      <c r="G495" s="1782"/>
    </row>
    <row r="496" spans="1:15" ht="13.8" x14ac:dyDescent="0.25">
      <c r="A496" s="2716" t="s">
        <v>2162</v>
      </c>
      <c r="B496" s="2716"/>
      <c r="C496" s="2716"/>
      <c r="D496" s="2716"/>
      <c r="E496" s="2716"/>
      <c r="F496" s="2716"/>
      <c r="G496" s="1783">
        <f>G483+G487+G493</f>
        <v>32331.296875</v>
      </c>
    </row>
    <row r="497" spans="1:7" ht="13.8" x14ac:dyDescent="0.25">
      <c r="A497" s="2716" t="s">
        <v>2163</v>
      </c>
      <c r="B497" s="2716"/>
      <c r="C497" s="2716"/>
      <c r="D497" s="2716"/>
      <c r="E497" s="2716"/>
      <c r="F497" s="2716"/>
      <c r="G497" s="1783">
        <f>G496/10</f>
        <v>3233.1296874999998</v>
      </c>
    </row>
    <row r="498" spans="1:7" ht="14.4" thickBot="1" x14ac:dyDescent="0.3">
      <c r="A498" s="2724" t="s">
        <v>2164</v>
      </c>
      <c r="B498" s="2724"/>
      <c r="C498" s="2724"/>
      <c r="D498" s="2724"/>
      <c r="E498" s="2724"/>
      <c r="F498" s="2724"/>
      <c r="G498" s="1810">
        <f>G497/3.28</f>
        <v>985.71027057926824</v>
      </c>
    </row>
    <row r="502" spans="1:7" x14ac:dyDescent="0.25">
      <c r="A502" s="2740" t="s">
        <v>2171</v>
      </c>
      <c r="B502" s="2740"/>
      <c r="C502" s="2740"/>
      <c r="D502" s="2740"/>
      <c r="E502" s="2740"/>
      <c r="F502" s="2740"/>
      <c r="G502" s="2740"/>
    </row>
    <row r="504" spans="1:7" ht="13.8" thickBot="1" x14ac:dyDescent="0.3"/>
    <row r="505" spans="1:7" ht="13.8" x14ac:dyDescent="0.25">
      <c r="A505" s="2717" t="s">
        <v>2172</v>
      </c>
      <c r="B505" s="2718"/>
      <c r="C505" s="2718"/>
      <c r="D505" s="2718"/>
      <c r="E505" s="2718"/>
      <c r="F505" s="2718"/>
      <c r="G505" s="2719"/>
    </row>
    <row r="506" spans="1:7" ht="14.4" thickBot="1" x14ac:dyDescent="0.3">
      <c r="A506" s="2720" t="s">
        <v>2173</v>
      </c>
      <c r="B506" s="2721"/>
      <c r="C506" s="2721"/>
      <c r="D506" s="2721"/>
      <c r="E506" s="2721"/>
      <c r="F506" s="2721"/>
      <c r="G506" s="2722"/>
    </row>
    <row r="507" spans="1:7" ht="14.4" thickBot="1" x14ac:dyDescent="0.3">
      <c r="A507" s="1773"/>
      <c r="B507" s="1774" t="s">
        <v>2094</v>
      </c>
      <c r="C507" s="1774" t="s">
        <v>2095</v>
      </c>
      <c r="D507" s="1774" t="s">
        <v>2</v>
      </c>
      <c r="E507" s="1774" t="s">
        <v>2096</v>
      </c>
      <c r="F507" s="1774" t="s">
        <v>5</v>
      </c>
      <c r="G507" s="1774" t="s">
        <v>2097</v>
      </c>
    </row>
    <row r="508" spans="1:7" ht="13.8" x14ac:dyDescent="0.25">
      <c r="A508" s="1775"/>
      <c r="B508" s="1775"/>
      <c r="C508" s="1776"/>
      <c r="D508" s="1777"/>
      <c r="E508" s="1777"/>
      <c r="F508" s="1777"/>
      <c r="G508" s="1777"/>
    </row>
    <row r="509" spans="1:7" ht="13.8" x14ac:dyDescent="0.25">
      <c r="A509" s="1775"/>
      <c r="B509" s="1778" t="s">
        <v>2111</v>
      </c>
      <c r="C509" s="1776"/>
      <c r="D509" s="1777"/>
      <c r="E509" s="1777"/>
      <c r="F509" s="1777"/>
      <c r="G509" s="1777"/>
    </row>
    <row r="510" spans="1:7" ht="13.8" x14ac:dyDescent="0.25">
      <c r="A510" s="1775"/>
      <c r="B510" s="1778"/>
      <c r="C510" s="1777"/>
      <c r="D510" s="1777"/>
      <c r="E510" s="1777"/>
      <c r="F510" s="1777"/>
      <c r="G510" s="1777"/>
    </row>
    <row r="511" spans="1:7" ht="16.2" x14ac:dyDescent="0.25">
      <c r="A511" s="1775"/>
      <c r="B511" s="1778" t="s">
        <v>2174</v>
      </c>
      <c r="C511" s="1777" t="s">
        <v>2175</v>
      </c>
      <c r="D511" s="1777">
        <v>24</v>
      </c>
      <c r="E511" s="1777">
        <f>Material!E74</f>
        <v>29000</v>
      </c>
      <c r="F511" s="1789">
        <f t="shared" ref="F511:F514" si="62">D511*E511</f>
        <v>696000</v>
      </c>
      <c r="G511" s="1777"/>
    </row>
    <row r="512" spans="1:7" ht="16.2" x14ac:dyDescent="0.25">
      <c r="A512" s="1775"/>
      <c r="B512" s="1778" t="s">
        <v>2176</v>
      </c>
      <c r="C512" s="1777" t="s">
        <v>2175</v>
      </c>
      <c r="D512" s="1777">
        <v>1</v>
      </c>
      <c r="E512" s="1777">
        <f>Material!E74</f>
        <v>29000</v>
      </c>
      <c r="F512" s="1789">
        <f t="shared" si="62"/>
        <v>29000</v>
      </c>
      <c r="G512" s="1777"/>
    </row>
    <row r="513" spans="1:7" ht="13.8" x14ac:dyDescent="0.25">
      <c r="A513" s="1788"/>
      <c r="B513" s="1788" t="s">
        <v>2132</v>
      </c>
      <c r="C513" s="1789" t="s">
        <v>2074</v>
      </c>
      <c r="D513" s="1789">
        <v>1</v>
      </c>
      <c r="E513" s="1789">
        <f>F197</f>
        <v>2235.625</v>
      </c>
      <c r="F513" s="1789">
        <f t="shared" si="62"/>
        <v>2235.625</v>
      </c>
      <c r="G513" s="1789"/>
    </row>
    <row r="514" spans="1:7" ht="13.8" x14ac:dyDescent="0.25">
      <c r="A514" s="1788"/>
      <c r="B514" s="1817" t="s">
        <v>1947</v>
      </c>
      <c r="C514" s="1789" t="s">
        <v>131</v>
      </c>
      <c r="D514" s="1789">
        <v>0.05</v>
      </c>
      <c r="E514" s="1789">
        <f>Material!E13</f>
        <v>23500</v>
      </c>
      <c r="F514" s="1789">
        <f t="shared" si="62"/>
        <v>1175</v>
      </c>
      <c r="G514" s="1789"/>
    </row>
    <row r="515" spans="1:7" ht="13.8" x14ac:dyDescent="0.25">
      <c r="A515" s="1788"/>
      <c r="B515" s="1714"/>
      <c r="C515" s="1789"/>
      <c r="D515" s="1789"/>
      <c r="E515" s="1789"/>
      <c r="F515" s="1789"/>
      <c r="G515" s="1789"/>
    </row>
    <row r="516" spans="1:7" ht="13.8" x14ac:dyDescent="0.25">
      <c r="A516" s="1775"/>
      <c r="B516" s="1775"/>
      <c r="C516" s="1776"/>
      <c r="D516" s="1777"/>
      <c r="E516" s="1777"/>
      <c r="F516" s="1777"/>
      <c r="G516" s="1777"/>
    </row>
    <row r="517" spans="1:7" ht="13.8" x14ac:dyDescent="0.25">
      <c r="A517" s="1779"/>
      <c r="B517" s="2723" t="s">
        <v>2112</v>
      </c>
      <c r="C517" s="2723"/>
      <c r="D517" s="2723"/>
      <c r="E517" s="2723"/>
      <c r="F517" s="1780">
        <f t="shared" ref="F517:F519" si="63">D517*E517</f>
        <v>0</v>
      </c>
      <c r="G517" s="1781">
        <f>SUM(F510:F517)</f>
        <v>728410.625</v>
      </c>
    </row>
    <row r="518" spans="1:7" ht="13.8" x14ac:dyDescent="0.25">
      <c r="A518" s="1775"/>
      <c r="B518" s="1778" t="s">
        <v>2098</v>
      </c>
      <c r="C518" s="1776"/>
      <c r="D518" s="1777"/>
      <c r="E518" s="1777"/>
      <c r="F518" s="1777">
        <f t="shared" si="63"/>
        <v>0</v>
      </c>
      <c r="G518" s="1777"/>
    </row>
    <row r="519" spans="1:7" ht="13.8" x14ac:dyDescent="0.25">
      <c r="A519" s="1786"/>
      <c r="B519" s="1786" t="s">
        <v>2177</v>
      </c>
      <c r="C519" s="1761" t="s">
        <v>693</v>
      </c>
      <c r="D519" s="1761">
        <v>24</v>
      </c>
      <c r="E519" s="1761">
        <v>550</v>
      </c>
      <c r="F519" s="1761">
        <f t="shared" si="63"/>
        <v>13200</v>
      </c>
      <c r="G519" s="1761"/>
    </row>
    <row r="520" spans="1:7" ht="13.8" x14ac:dyDescent="0.25">
      <c r="A520" s="1775"/>
      <c r="B520" s="1775"/>
      <c r="C520" s="1776"/>
      <c r="D520" s="1777"/>
      <c r="E520" s="1777"/>
      <c r="F520" s="1777"/>
      <c r="G520" s="1777"/>
    </row>
    <row r="521" spans="1:7" ht="13.8" x14ac:dyDescent="0.25">
      <c r="A521" s="1779"/>
      <c r="B521" s="2723" t="s">
        <v>2100</v>
      </c>
      <c r="C521" s="2723"/>
      <c r="D521" s="2723"/>
      <c r="E521" s="2723"/>
      <c r="F521" s="1780">
        <f t="shared" ref="F521" si="64">D521*E521</f>
        <v>0</v>
      </c>
      <c r="G521" s="1781">
        <f>SUM(F519:F521)</f>
        <v>13200</v>
      </c>
    </row>
    <row r="522" spans="1:7" ht="13.8" x14ac:dyDescent="0.25">
      <c r="A522" s="1775"/>
      <c r="B522" s="1778" t="s">
        <v>2115</v>
      </c>
      <c r="C522" s="1776"/>
      <c r="D522" s="1777"/>
      <c r="E522" s="1777"/>
      <c r="F522" s="1777"/>
      <c r="G522" s="1777"/>
    </row>
    <row r="523" spans="1:7" ht="13.8" x14ac:dyDescent="0.25">
      <c r="A523" s="1775"/>
      <c r="B523" s="1775"/>
      <c r="C523" s="1776"/>
      <c r="D523" s="1777"/>
      <c r="E523" s="1777"/>
      <c r="F523" s="1777"/>
      <c r="G523" s="1777"/>
    </row>
    <row r="524" spans="1:7" ht="13.8" x14ac:dyDescent="0.25">
      <c r="A524" s="1775"/>
      <c r="B524" s="1775" t="s">
        <v>2178</v>
      </c>
      <c r="C524" s="1776"/>
      <c r="D524" s="1777">
        <v>25</v>
      </c>
      <c r="E524" s="1777"/>
      <c r="F524" s="1777">
        <v>40000</v>
      </c>
      <c r="G524" s="1777"/>
    </row>
    <row r="525" spans="1:7" ht="13.8" x14ac:dyDescent="0.25">
      <c r="A525" s="1775"/>
      <c r="B525" s="1775" t="s">
        <v>2140</v>
      </c>
      <c r="C525" s="1777" t="s">
        <v>2114</v>
      </c>
      <c r="D525" s="1777">
        <v>0.33</v>
      </c>
      <c r="E525" s="1777"/>
      <c r="F525" s="1777">
        <f>D525*E525</f>
        <v>0</v>
      </c>
      <c r="G525" s="1777"/>
    </row>
    <row r="526" spans="1:7" ht="13.8" x14ac:dyDescent="0.25">
      <c r="A526" s="1775"/>
      <c r="B526" s="1775" t="s">
        <v>2141</v>
      </c>
      <c r="C526" s="1777" t="s">
        <v>2114</v>
      </c>
      <c r="D526" s="1777">
        <v>0.33</v>
      </c>
      <c r="E526" s="1777">
        <v>2000</v>
      </c>
      <c r="F526" s="1777">
        <f>D526*E526</f>
        <v>660</v>
      </c>
      <c r="G526" s="1777"/>
    </row>
    <row r="527" spans="1:7" ht="13.8" x14ac:dyDescent="0.25">
      <c r="A527" s="1775"/>
      <c r="B527" s="1775"/>
      <c r="C527" s="1776"/>
      <c r="D527" s="1777"/>
      <c r="E527" s="1777"/>
      <c r="F527" s="1777"/>
      <c r="G527" s="1777"/>
    </row>
    <row r="528" spans="1:7" ht="13.8" x14ac:dyDescent="0.25">
      <c r="A528" s="1779"/>
      <c r="B528" s="2723" t="s">
        <v>2118</v>
      </c>
      <c r="C528" s="2723"/>
      <c r="D528" s="2723"/>
      <c r="E528" s="2723"/>
      <c r="F528" s="1780">
        <f t="shared" ref="F528" si="65">D528*E528</f>
        <v>0</v>
      </c>
      <c r="G528" s="1781">
        <f>SUM(F523:F528)</f>
        <v>40660</v>
      </c>
    </row>
    <row r="529" spans="1:7" ht="13.8" x14ac:dyDescent="0.25">
      <c r="A529" s="1775"/>
      <c r="B529" s="1782"/>
      <c r="C529" s="1782"/>
      <c r="D529" s="1782"/>
      <c r="E529" s="1782"/>
      <c r="F529" s="1777"/>
      <c r="G529" s="1782"/>
    </row>
    <row r="530" spans="1:7" ht="13.8" x14ac:dyDescent="0.25">
      <c r="A530" s="1775"/>
      <c r="B530" s="1782"/>
      <c r="C530" s="1782"/>
      <c r="D530" s="1782"/>
      <c r="E530" s="1782"/>
      <c r="F530" s="1777"/>
      <c r="G530" s="1782"/>
    </row>
    <row r="531" spans="1:7" ht="13.8" x14ac:dyDescent="0.25">
      <c r="A531" s="2716" t="s">
        <v>2179</v>
      </c>
      <c r="B531" s="2716"/>
      <c r="C531" s="2716"/>
      <c r="D531" s="2716"/>
      <c r="E531" s="2716"/>
      <c r="F531" s="2716"/>
      <c r="G531" s="1783">
        <f>G517+G521+G528</f>
        <v>782270.625</v>
      </c>
    </row>
    <row r="532" spans="1:7" ht="16.2" x14ac:dyDescent="0.25">
      <c r="A532" s="2716" t="s">
        <v>2108</v>
      </c>
      <c r="B532" s="2716"/>
      <c r="C532" s="2716"/>
      <c r="D532" s="2716"/>
      <c r="E532" s="2716"/>
      <c r="F532" s="2716"/>
      <c r="G532" s="1783">
        <f>G531/24</f>
        <v>32594.609375</v>
      </c>
    </row>
    <row r="533" spans="1:7" ht="16.2" x14ac:dyDescent="0.25">
      <c r="A533" s="2716" t="s">
        <v>2108</v>
      </c>
      <c r="B533" s="2716"/>
      <c r="C533" s="2716"/>
      <c r="D533" s="2716"/>
      <c r="E533" s="2716"/>
      <c r="F533" s="2716"/>
      <c r="G533" s="1783">
        <f>G532*2.83</f>
        <v>92242.744531250006</v>
      </c>
    </row>
    <row r="545" spans="1:7" x14ac:dyDescent="0.25">
      <c r="D545" s="1811"/>
    </row>
    <row r="548" spans="1:7" x14ac:dyDescent="0.25">
      <c r="A548" s="2733" t="s">
        <v>573</v>
      </c>
      <c r="B548" s="2733"/>
      <c r="C548" s="2733"/>
      <c r="D548" s="2733"/>
      <c r="E548" s="2733"/>
      <c r="F548" s="2733"/>
      <c r="G548" s="2733"/>
    </row>
    <row r="551" spans="1:7" ht="13.8" x14ac:dyDescent="0.25">
      <c r="A551" s="2739" t="s">
        <v>2180</v>
      </c>
      <c r="B551" s="2739"/>
      <c r="C551" s="1791"/>
      <c r="D551" s="1792"/>
      <c r="E551" s="1792"/>
      <c r="F551" s="1792"/>
      <c r="G551" s="1803"/>
    </row>
    <row r="552" spans="1:7" ht="13.8" x14ac:dyDescent="0.25">
      <c r="A552" s="1793"/>
      <c r="B552" s="1794" t="s">
        <v>2094</v>
      </c>
      <c r="C552" s="1794" t="s">
        <v>2095</v>
      </c>
      <c r="D552" s="1794" t="s">
        <v>2</v>
      </c>
      <c r="E552" s="1794" t="s">
        <v>2096</v>
      </c>
      <c r="F552" s="1794" t="s">
        <v>5</v>
      </c>
      <c r="G552" s="1803"/>
    </row>
    <row r="553" spans="1:7" ht="13.8" x14ac:dyDescent="0.25">
      <c r="A553" s="1795"/>
      <c r="B553" s="1795"/>
      <c r="C553" s="1796"/>
      <c r="D553" s="1797"/>
      <c r="E553" s="1797"/>
      <c r="F553" s="1797"/>
      <c r="G553" s="1803"/>
    </row>
    <row r="554" spans="1:7" ht="13.8" x14ac:dyDescent="0.25">
      <c r="A554" s="1795"/>
      <c r="B554" s="1795" t="s">
        <v>2181</v>
      </c>
      <c r="C554" s="1797" t="s">
        <v>1966</v>
      </c>
      <c r="D554" s="1797">
        <v>1</v>
      </c>
      <c r="E554" s="1797">
        <f>Material!D30</f>
        <v>365000</v>
      </c>
      <c r="F554" s="1797">
        <f>D554*E554</f>
        <v>365000</v>
      </c>
      <c r="G554" s="1803"/>
    </row>
    <row r="555" spans="1:7" ht="13.8" x14ac:dyDescent="0.25">
      <c r="A555" s="1795"/>
      <c r="B555" s="1800" t="s">
        <v>2133</v>
      </c>
      <c r="C555" s="1797" t="s">
        <v>2117</v>
      </c>
      <c r="D555" s="1797">
        <v>3</v>
      </c>
      <c r="E555" s="1797">
        <v>312.5</v>
      </c>
      <c r="F555" s="1797">
        <f t="shared" ref="F555:F556" si="66">D555*E555</f>
        <v>937.5</v>
      </c>
      <c r="G555" s="1803"/>
    </row>
    <row r="556" spans="1:7" ht="13.8" x14ac:dyDescent="0.25">
      <c r="A556" s="1795"/>
      <c r="B556" s="1796" t="s">
        <v>2134</v>
      </c>
      <c r="C556" s="1797" t="s">
        <v>2135</v>
      </c>
      <c r="D556" s="1797">
        <v>1</v>
      </c>
      <c r="E556" s="1797">
        <v>10000</v>
      </c>
      <c r="F556" s="1797">
        <f t="shared" si="66"/>
        <v>10000</v>
      </c>
      <c r="G556" s="1803"/>
    </row>
    <row r="557" spans="1:7" ht="13.8" x14ac:dyDescent="0.25">
      <c r="A557" s="1795"/>
      <c r="B557" s="1795"/>
      <c r="C557" s="1796"/>
      <c r="D557" s="1797"/>
      <c r="E557" s="1797"/>
      <c r="F557" s="1797"/>
      <c r="G557" s="1803"/>
    </row>
    <row r="558" spans="1:7" ht="13.8" x14ac:dyDescent="0.25">
      <c r="A558" s="1795"/>
      <c r="B558" s="1795"/>
      <c r="C558" s="1796"/>
      <c r="D558" s="1797"/>
      <c r="E558" s="1797"/>
      <c r="F558" s="1797"/>
      <c r="G558" s="1803"/>
    </row>
    <row r="559" spans="1:7" ht="13.8" x14ac:dyDescent="0.25">
      <c r="A559" s="1795"/>
      <c r="B559" s="1795"/>
      <c r="C559" s="1796"/>
      <c r="D559" s="1797"/>
      <c r="E559" s="1797"/>
      <c r="F559" s="1797"/>
      <c r="G559" s="1803"/>
    </row>
    <row r="560" spans="1:7" ht="13.8" x14ac:dyDescent="0.25">
      <c r="A560" s="2736" t="s">
        <v>2182</v>
      </c>
      <c r="B560" s="2737"/>
      <c r="C560" s="2737"/>
      <c r="D560" s="2737"/>
      <c r="E560" s="2738"/>
      <c r="F560" s="1794">
        <f>SUM(F554:F559)</f>
        <v>375937.5</v>
      </c>
      <c r="G560" s="1803"/>
    </row>
    <row r="561" spans="1:8" ht="13.8" x14ac:dyDescent="0.25">
      <c r="A561" s="2736" t="s">
        <v>2183</v>
      </c>
      <c r="B561" s="2737"/>
      <c r="C561" s="2737"/>
      <c r="D561" s="2737"/>
      <c r="E561" s="2738"/>
      <c r="F561" s="1794">
        <f>F560/20</f>
        <v>18796.875</v>
      </c>
      <c r="G561" s="1803"/>
    </row>
    <row r="562" spans="1:8" ht="13.8" x14ac:dyDescent="0.25">
      <c r="A562" s="2736" t="s">
        <v>2184</v>
      </c>
      <c r="B562" s="2737"/>
      <c r="C562" s="2737"/>
      <c r="D562" s="2737"/>
      <c r="E562" s="2738"/>
      <c r="F562" s="1794">
        <f>F560/1000</f>
        <v>375.9375</v>
      </c>
      <c r="G562" s="1803"/>
    </row>
    <row r="563" spans="1:8" ht="13.8" x14ac:dyDescent="0.25">
      <c r="A563" s="1757"/>
      <c r="B563" s="1803"/>
      <c r="C563" s="1803"/>
      <c r="D563" s="1803"/>
      <c r="E563" s="1803"/>
      <c r="F563" s="1792"/>
      <c r="G563" s="1803"/>
    </row>
    <row r="564" spans="1:8" ht="14.4" thickBot="1" x14ac:dyDescent="0.3">
      <c r="A564" s="1757"/>
      <c r="B564" s="1803"/>
      <c r="C564" s="1803"/>
      <c r="D564" s="1803"/>
      <c r="E564" s="1803"/>
      <c r="F564" s="1792"/>
      <c r="G564" s="1803"/>
    </row>
    <row r="565" spans="1:8" ht="13.8" x14ac:dyDescent="0.25">
      <c r="A565" s="2717" t="s">
        <v>2185</v>
      </c>
      <c r="B565" s="2718"/>
      <c r="C565" s="2718"/>
      <c r="D565" s="2718"/>
      <c r="E565" s="2718"/>
      <c r="F565" s="2718"/>
      <c r="G565" s="2719"/>
    </row>
    <row r="566" spans="1:8" ht="14.4" thickBot="1" x14ac:dyDescent="0.3">
      <c r="A566" s="2720" t="s">
        <v>2186</v>
      </c>
      <c r="B566" s="2721"/>
      <c r="C566" s="2721"/>
      <c r="D566" s="2721"/>
      <c r="E566" s="2721"/>
      <c r="F566" s="2721"/>
      <c r="G566" s="2722"/>
    </row>
    <row r="567" spans="1:8" ht="14.4" thickBot="1" x14ac:dyDescent="0.3">
      <c r="A567" s="1773"/>
      <c r="B567" s="1774" t="s">
        <v>2094</v>
      </c>
      <c r="C567" s="1774" t="s">
        <v>2095</v>
      </c>
      <c r="D567" s="1774" t="s">
        <v>2</v>
      </c>
      <c r="E567" s="1774" t="s">
        <v>2096</v>
      </c>
      <c r="F567" s="1774" t="s">
        <v>5</v>
      </c>
      <c r="G567" s="1774" t="s">
        <v>2097</v>
      </c>
    </row>
    <row r="568" spans="1:8" ht="13.8" x14ac:dyDescent="0.25">
      <c r="A568" s="1775"/>
      <c r="B568" s="1775"/>
      <c r="C568" s="1776"/>
      <c r="D568" s="1777"/>
      <c r="E568" s="1777"/>
      <c r="F568" s="1777"/>
      <c r="G568" s="1777"/>
    </row>
    <row r="569" spans="1:8" ht="13.8" x14ac:dyDescent="0.25">
      <c r="A569" s="1775"/>
      <c r="B569" s="1778"/>
      <c r="C569" s="1776"/>
      <c r="D569" s="1777"/>
      <c r="E569" s="1777"/>
      <c r="F569" s="1777"/>
      <c r="G569" s="1777"/>
    </row>
    <row r="570" spans="1:8" ht="13.8" x14ac:dyDescent="0.25">
      <c r="A570" s="1788"/>
      <c r="B570" s="1788" t="s">
        <v>2187</v>
      </c>
      <c r="C570" s="1789" t="s">
        <v>2188</v>
      </c>
      <c r="D570" s="1789">
        <v>1</v>
      </c>
      <c r="E570" s="1789">
        <f>F561</f>
        <v>18796.875</v>
      </c>
      <c r="F570" s="1789">
        <f>D570*E570</f>
        <v>18796.875</v>
      </c>
      <c r="G570" s="1789"/>
      <c r="H570" s="2014">
        <f>+E570/50</f>
        <v>375.9375</v>
      </c>
    </row>
    <row r="571" spans="1:8" ht="13.8" x14ac:dyDescent="0.25">
      <c r="A571" s="1788"/>
      <c r="B571" s="1817" t="s">
        <v>2150</v>
      </c>
      <c r="C571" s="1789"/>
      <c r="D571" s="1789"/>
      <c r="E571" s="1789"/>
      <c r="F571" s="1789">
        <f>F570*10%</f>
        <v>1879.6875</v>
      </c>
      <c r="G571" s="1789"/>
    </row>
    <row r="572" spans="1:8" ht="13.8" x14ac:dyDescent="0.25">
      <c r="A572" s="1788"/>
      <c r="B572" s="1714" t="s">
        <v>2189</v>
      </c>
      <c r="C572" s="1789" t="s">
        <v>134</v>
      </c>
      <c r="D572" s="1789">
        <v>1.5</v>
      </c>
      <c r="E572" s="1789">
        <v>340</v>
      </c>
      <c r="F572" s="1789">
        <f t="shared" ref="F572" si="67">D572*E572</f>
        <v>510</v>
      </c>
      <c r="G572" s="1789"/>
    </row>
    <row r="573" spans="1:8" ht="13.8" x14ac:dyDescent="0.25">
      <c r="A573" s="1788"/>
      <c r="B573" s="1714" t="s">
        <v>2190</v>
      </c>
      <c r="C573" s="1714"/>
      <c r="D573" s="1789"/>
      <c r="E573" s="1789"/>
      <c r="F573" s="1789">
        <f>(F570+F571)*1.5%</f>
        <v>310.1484375</v>
      </c>
      <c r="G573" s="1789"/>
    </row>
    <row r="574" spans="1:8" ht="13.8" x14ac:dyDescent="0.25">
      <c r="A574" s="1775"/>
      <c r="B574" s="1776" t="s">
        <v>2191</v>
      </c>
      <c r="C574" s="1776"/>
      <c r="D574" s="1777"/>
      <c r="E574" s="1777"/>
      <c r="F574" s="1777">
        <f>(F570+F571)*3%</f>
        <v>620.296875</v>
      </c>
      <c r="G574" s="1777"/>
    </row>
    <row r="575" spans="1:8" ht="13.8" x14ac:dyDescent="0.25">
      <c r="A575" s="1779"/>
      <c r="B575" s="2723" t="s">
        <v>2112</v>
      </c>
      <c r="C575" s="2723"/>
      <c r="D575" s="2723"/>
      <c r="E575" s="2723"/>
      <c r="F575" s="1780"/>
      <c r="G575" s="1781">
        <f>SUM(F569:F575)</f>
        <v>22117.0078125</v>
      </c>
    </row>
    <row r="576" spans="1:8" ht="13.8" x14ac:dyDescent="0.25">
      <c r="A576" s="1775"/>
      <c r="B576" s="1778" t="s">
        <v>2098</v>
      </c>
      <c r="C576" s="1776"/>
      <c r="D576" s="1777"/>
      <c r="E576" s="1777"/>
      <c r="F576" s="1777"/>
      <c r="G576" s="1777"/>
    </row>
    <row r="577" spans="1:8" ht="13.8" x14ac:dyDescent="0.25">
      <c r="A577" s="1775"/>
      <c r="B577" s="1775" t="s">
        <v>2106</v>
      </c>
      <c r="C577" s="1777" t="s">
        <v>134</v>
      </c>
      <c r="D577" s="1777">
        <v>50</v>
      </c>
      <c r="E577" s="1712">
        <v>28</v>
      </c>
      <c r="F577" s="1777">
        <f>D577*E577</f>
        <v>1400</v>
      </c>
      <c r="G577" s="1777"/>
    </row>
    <row r="578" spans="1:8" ht="13.8" x14ac:dyDescent="0.25">
      <c r="A578" s="1775"/>
      <c r="B578" s="1775"/>
      <c r="C578" s="1776"/>
      <c r="D578" s="1777"/>
      <c r="E578" s="1777"/>
      <c r="F578" s="1777"/>
      <c r="G578" s="1777"/>
    </row>
    <row r="579" spans="1:8" ht="13.8" x14ac:dyDescent="0.25">
      <c r="A579" s="1779"/>
      <c r="B579" s="2723" t="s">
        <v>2100</v>
      </c>
      <c r="C579" s="2723"/>
      <c r="D579" s="2723"/>
      <c r="E579" s="2723"/>
      <c r="F579" s="1780">
        <f t="shared" ref="F579" si="68">D579*E579</f>
        <v>0</v>
      </c>
      <c r="G579" s="1781">
        <f>SUM(F577:F579)</f>
        <v>1400</v>
      </c>
    </row>
    <row r="580" spans="1:8" ht="13.8" x14ac:dyDescent="0.25">
      <c r="A580" s="1775"/>
      <c r="B580" s="1778"/>
      <c r="C580" s="1776"/>
      <c r="D580" s="1777"/>
      <c r="E580" s="1777"/>
      <c r="F580" s="1777"/>
      <c r="G580" s="1777"/>
    </row>
    <row r="581" spans="1:8" ht="13.8" x14ac:dyDescent="0.25">
      <c r="A581" s="1775"/>
      <c r="B581" s="1775"/>
      <c r="C581" s="1776"/>
      <c r="D581" s="1777"/>
      <c r="E581" s="1777"/>
      <c r="F581" s="1777"/>
      <c r="G581" s="1777"/>
    </row>
    <row r="582" spans="1:8" ht="13.8" x14ac:dyDescent="0.25">
      <c r="A582" s="1775"/>
      <c r="B582" s="1775"/>
      <c r="C582" s="1776"/>
      <c r="D582" s="1777"/>
      <c r="E582" s="1777"/>
      <c r="F582" s="1777"/>
      <c r="G582" s="1777"/>
    </row>
    <row r="583" spans="1:8" ht="13.8" x14ac:dyDescent="0.25">
      <c r="A583" s="1775"/>
      <c r="B583" s="1782"/>
      <c r="C583" s="1782"/>
      <c r="D583" s="1782"/>
      <c r="E583" s="1782"/>
      <c r="F583" s="1777"/>
      <c r="G583" s="1782"/>
    </row>
    <row r="584" spans="1:8" ht="13.8" x14ac:dyDescent="0.25">
      <c r="A584" s="2716" t="s">
        <v>2192</v>
      </c>
      <c r="B584" s="2716"/>
      <c r="C584" s="2716"/>
      <c r="D584" s="2716"/>
      <c r="E584" s="2716"/>
      <c r="F584" s="2716"/>
      <c r="G584" s="1783">
        <f>G575+G579</f>
        <v>23517.0078125</v>
      </c>
      <c r="H584" s="2074">
        <f>G575</f>
        <v>22117.0078125</v>
      </c>
    </row>
    <row r="585" spans="1:8" ht="13.8" x14ac:dyDescent="0.25">
      <c r="A585" s="2716" t="s">
        <v>2193</v>
      </c>
      <c r="B585" s="2716"/>
      <c r="C585" s="2716"/>
      <c r="D585" s="2716"/>
      <c r="E585" s="2716"/>
      <c r="F585" s="2716"/>
      <c r="G585" s="1783">
        <f>G584*20</f>
        <v>470340.15625</v>
      </c>
      <c r="H585" s="2073">
        <f>H584*20</f>
        <v>442340.15625</v>
      </c>
    </row>
    <row r="586" spans="1:8" ht="14.4" thickBot="1" x14ac:dyDescent="0.3">
      <c r="A586" s="2724" t="s">
        <v>2194</v>
      </c>
      <c r="B586" s="2724"/>
      <c r="C586" s="2724"/>
      <c r="D586" s="2724"/>
      <c r="E586" s="2724"/>
      <c r="F586" s="2724"/>
      <c r="G586" s="1810">
        <f>G585/1000</f>
        <v>470.34015625000001</v>
      </c>
      <c r="H586" s="2073">
        <f>H585/1000</f>
        <v>442.34015625000001</v>
      </c>
    </row>
    <row r="592" spans="1:8" x14ac:dyDescent="0.25">
      <c r="A592" s="2733" t="s">
        <v>2195</v>
      </c>
      <c r="B592" s="2733"/>
      <c r="C592" s="2733"/>
      <c r="D592" s="2733"/>
      <c r="E592" s="2733"/>
      <c r="F592" s="2733"/>
      <c r="G592" s="2733"/>
    </row>
    <row r="594" spans="1:7" ht="13.8" thickBot="1" x14ac:dyDescent="0.3"/>
    <row r="595" spans="1:7" ht="13.8" x14ac:dyDescent="0.25">
      <c r="A595" s="2717" t="s">
        <v>2196</v>
      </c>
      <c r="B595" s="2718"/>
      <c r="C595" s="2718"/>
      <c r="D595" s="2718"/>
      <c r="E595" s="2718"/>
      <c r="F595" s="2718"/>
      <c r="G595" s="2719"/>
    </row>
    <row r="596" spans="1:7" ht="14.4" thickBot="1" x14ac:dyDescent="0.3">
      <c r="A596" s="2720" t="s">
        <v>2197</v>
      </c>
      <c r="B596" s="2721"/>
      <c r="C596" s="2721"/>
      <c r="D596" s="2721"/>
      <c r="E596" s="2721"/>
      <c r="F596" s="2721"/>
      <c r="G596" s="2722"/>
    </row>
    <row r="597" spans="1:7" ht="14.4" thickBot="1" x14ac:dyDescent="0.3">
      <c r="A597" s="1773"/>
      <c r="B597" s="1774" t="s">
        <v>2094</v>
      </c>
      <c r="C597" s="1818" t="s">
        <v>2095</v>
      </c>
      <c r="D597" s="1774" t="s">
        <v>2</v>
      </c>
      <c r="E597" s="1774" t="s">
        <v>2096</v>
      </c>
      <c r="F597" s="1774" t="s">
        <v>5</v>
      </c>
      <c r="G597" s="1774" t="s">
        <v>2097</v>
      </c>
    </row>
    <row r="598" spans="1:7" ht="13.8" x14ac:dyDescent="0.25">
      <c r="A598" s="1775"/>
      <c r="B598" s="1778" t="s">
        <v>2111</v>
      </c>
      <c r="C598" s="1819"/>
      <c r="D598" s="1777"/>
      <c r="E598" s="1777"/>
      <c r="F598" s="1777"/>
      <c r="G598" s="1777"/>
    </row>
    <row r="599" spans="1:7" ht="15.6" x14ac:dyDescent="0.4">
      <c r="A599" s="1775"/>
      <c r="B599" s="1787" t="s">
        <v>2198</v>
      </c>
      <c r="C599" s="1819"/>
      <c r="D599" s="1777"/>
      <c r="E599" s="1777"/>
      <c r="F599" s="1777"/>
      <c r="G599" s="1777"/>
    </row>
    <row r="600" spans="1:7" ht="13.8" x14ac:dyDescent="0.25">
      <c r="A600" s="1775"/>
      <c r="B600" s="1775" t="s">
        <v>2159</v>
      </c>
      <c r="C600" s="1819" t="s">
        <v>2199</v>
      </c>
      <c r="D600" s="1777">
        <v>0.3</v>
      </c>
      <c r="E600" s="1777">
        <f>F197</f>
        <v>2235.625</v>
      </c>
      <c r="F600" s="1777">
        <f t="shared" ref="F600:F601" si="69">D600*E600</f>
        <v>670.6875</v>
      </c>
      <c r="G600" s="1777"/>
    </row>
    <row r="601" spans="1:7" ht="13.8" x14ac:dyDescent="0.25">
      <c r="A601" s="1775"/>
      <c r="B601" s="1775" t="s">
        <v>1947</v>
      </c>
      <c r="C601" s="1819" t="s">
        <v>2200</v>
      </c>
      <c r="D601" s="1777">
        <v>0.01</v>
      </c>
      <c r="E601" s="1777">
        <f>Material!E13</f>
        <v>23500</v>
      </c>
      <c r="F601" s="1777">
        <f t="shared" si="69"/>
        <v>235</v>
      </c>
      <c r="G601" s="1777"/>
    </row>
    <row r="602" spans="1:7" ht="14.4" customHeight="1" x14ac:dyDescent="0.25">
      <c r="A602" s="1775"/>
      <c r="B602" s="1775"/>
      <c r="C602" s="1819"/>
      <c r="D602" s="1777"/>
      <c r="E602" s="1777"/>
      <c r="F602" s="1777"/>
      <c r="G602" s="1777"/>
    </row>
    <row r="603" spans="1:7" ht="13.8" x14ac:dyDescent="0.25">
      <c r="A603" s="1775"/>
      <c r="B603" s="1775" t="s">
        <v>2201</v>
      </c>
      <c r="C603" s="1819" t="s">
        <v>2199</v>
      </c>
      <c r="D603" s="1777">
        <v>0.05</v>
      </c>
      <c r="E603" s="1777">
        <v>5500</v>
      </c>
      <c r="F603" s="1777">
        <f>D603*E603</f>
        <v>275</v>
      </c>
      <c r="G603" s="1777"/>
    </row>
    <row r="604" spans="1:7" ht="13.8" x14ac:dyDescent="0.25">
      <c r="A604" s="1775"/>
      <c r="B604" s="1775" t="s">
        <v>2202</v>
      </c>
      <c r="C604" s="1819" t="s">
        <v>2199</v>
      </c>
      <c r="D604" s="1777">
        <v>0.2</v>
      </c>
      <c r="E604" s="1777">
        <v>47500</v>
      </c>
      <c r="F604" s="1777">
        <f>D604*E604</f>
        <v>9500</v>
      </c>
      <c r="G604" s="1777"/>
    </row>
    <row r="605" spans="1:7" ht="13.8" x14ac:dyDescent="0.25">
      <c r="A605" s="1775"/>
      <c r="B605" s="1775"/>
      <c r="C605" s="1819"/>
      <c r="D605" s="1777"/>
      <c r="E605" s="1777"/>
      <c r="F605" s="1820">
        <f>SUM(F600:F604)</f>
        <v>10680.6875</v>
      </c>
      <c r="G605" s="1777"/>
    </row>
    <row r="606" spans="1:7" ht="13.8" x14ac:dyDescent="0.25">
      <c r="A606" s="1775"/>
      <c r="B606" s="1776" t="s">
        <v>2203</v>
      </c>
      <c r="C606" s="1819"/>
      <c r="D606" s="1777"/>
      <c r="E606" s="1777"/>
      <c r="F606" s="1777">
        <v>200</v>
      </c>
      <c r="G606" s="1777"/>
    </row>
    <row r="607" spans="1:7" ht="13.8" x14ac:dyDescent="0.25">
      <c r="A607" s="1775"/>
      <c r="B607" s="1776"/>
      <c r="C607" s="1819"/>
      <c r="D607" s="1777"/>
      <c r="E607" s="1777"/>
      <c r="F607" s="1777"/>
      <c r="G607" s="1777"/>
    </row>
    <row r="608" spans="1:7" ht="13.8" x14ac:dyDescent="0.25">
      <c r="A608" s="1779"/>
      <c r="B608" s="2730" t="s">
        <v>2112</v>
      </c>
      <c r="C608" s="2731"/>
      <c r="D608" s="2731"/>
      <c r="E608" s="2732"/>
      <c r="F608" s="1780"/>
      <c r="G608" s="1781">
        <f>SUM(F605:F608)</f>
        <v>10880.6875</v>
      </c>
    </row>
    <row r="609" spans="1:7" ht="13.8" x14ac:dyDescent="0.25">
      <c r="A609" s="1775"/>
      <c r="B609" s="1778" t="s">
        <v>2098</v>
      </c>
      <c r="C609" s="1819"/>
      <c r="D609" s="1777"/>
      <c r="E609" s="1777"/>
      <c r="F609" s="1777">
        <f t="shared" ref="F609:F610" si="70">D609*E609</f>
        <v>0</v>
      </c>
      <c r="G609" s="1777"/>
    </row>
    <row r="610" spans="1:7" ht="13.8" x14ac:dyDescent="0.25">
      <c r="A610" s="1775"/>
      <c r="B610" s="1790" t="s">
        <v>2204</v>
      </c>
      <c r="C610" s="1819" t="s">
        <v>2126</v>
      </c>
      <c r="D610" s="1777">
        <v>38.75</v>
      </c>
      <c r="E610" s="1777">
        <v>40</v>
      </c>
      <c r="F610" s="1777">
        <f t="shared" si="70"/>
        <v>1550</v>
      </c>
      <c r="G610" s="1777"/>
    </row>
    <row r="611" spans="1:7" ht="13.8" x14ac:dyDescent="0.25">
      <c r="A611" s="1775"/>
      <c r="B611" s="1790" t="s">
        <v>2205</v>
      </c>
      <c r="C611" s="1819" t="s">
        <v>2206</v>
      </c>
      <c r="D611" s="1777">
        <v>45</v>
      </c>
      <c r="E611" s="1777">
        <v>65</v>
      </c>
      <c r="F611" s="1777">
        <f>D611*E611</f>
        <v>2925</v>
      </c>
      <c r="G611" s="1777"/>
    </row>
    <row r="612" spans="1:7" ht="13.8" x14ac:dyDescent="0.25">
      <c r="A612" s="1775"/>
      <c r="B612" s="1775"/>
      <c r="C612" s="1819"/>
      <c r="D612" s="1777"/>
      <c r="E612" s="1777"/>
      <c r="F612" s="1777"/>
      <c r="G612" s="1777"/>
    </row>
    <row r="613" spans="1:7" ht="13.8" x14ac:dyDescent="0.25">
      <c r="A613" s="1779"/>
      <c r="B613" s="2730" t="s">
        <v>2100</v>
      </c>
      <c r="C613" s="2731"/>
      <c r="D613" s="2731"/>
      <c r="E613" s="2732"/>
      <c r="F613" s="1780">
        <f t="shared" ref="F613" si="71">D613*E613</f>
        <v>0</v>
      </c>
      <c r="G613" s="1781">
        <f>SUM(F610:F613)</f>
        <v>4475</v>
      </c>
    </row>
    <row r="614" spans="1:7" ht="13.8" x14ac:dyDescent="0.25">
      <c r="A614" s="1775"/>
      <c r="B614" s="1782"/>
      <c r="C614" s="1821"/>
      <c r="D614" s="1782"/>
      <c r="E614" s="1782"/>
      <c r="F614" s="1777"/>
      <c r="G614" s="1782"/>
    </row>
    <row r="615" spans="1:7" ht="13.8" x14ac:dyDescent="0.25">
      <c r="A615" s="1775"/>
      <c r="B615" s="1782"/>
      <c r="C615" s="1821"/>
      <c r="D615" s="1782"/>
      <c r="E615" s="1782"/>
      <c r="F615" s="1777"/>
      <c r="G615" s="1782"/>
    </row>
    <row r="616" spans="1:7" ht="13.8" x14ac:dyDescent="0.25">
      <c r="A616" s="2725" t="s">
        <v>2207</v>
      </c>
      <c r="B616" s="2726"/>
      <c r="C616" s="2726"/>
      <c r="D616" s="2726"/>
      <c r="E616" s="2726"/>
      <c r="F616" s="2727"/>
      <c r="G616" s="1783">
        <f>G608+G613</f>
        <v>15355.6875</v>
      </c>
    </row>
    <row r="617" spans="1:7" ht="13.8" x14ac:dyDescent="0.25">
      <c r="A617" s="2725" t="s">
        <v>2129</v>
      </c>
      <c r="B617" s="2726"/>
      <c r="C617" s="2726"/>
      <c r="D617" s="2726"/>
      <c r="E617" s="2726"/>
      <c r="F617" s="2727"/>
      <c r="G617" s="1783">
        <f>G616/38.75</f>
        <v>396.27580645161288</v>
      </c>
    </row>
    <row r="618" spans="1:7" ht="13.8" x14ac:dyDescent="0.25">
      <c r="A618" s="2725" t="s">
        <v>2128</v>
      </c>
      <c r="B618" s="2726"/>
      <c r="C618" s="2726"/>
      <c r="D618" s="2726"/>
      <c r="E618" s="2726"/>
      <c r="F618" s="2727"/>
      <c r="G618" s="1783">
        <f>G617*10.76</f>
        <v>4263.9276774193549</v>
      </c>
    </row>
    <row r="622" spans="1:7" x14ac:dyDescent="0.25">
      <c r="A622" s="2733" t="s">
        <v>2208</v>
      </c>
      <c r="B622" s="2733"/>
      <c r="C622" s="2733"/>
      <c r="D622" s="2733"/>
      <c r="E622" s="2733"/>
      <c r="F622" s="2733"/>
      <c r="G622" s="2733"/>
    </row>
    <row r="624" spans="1:7" ht="13.8" thickBot="1" x14ac:dyDescent="0.3"/>
    <row r="625" spans="1:7" ht="13.8" x14ac:dyDescent="0.25">
      <c r="A625" s="2717" t="s">
        <v>2209</v>
      </c>
      <c r="B625" s="2718"/>
      <c r="C625" s="2718"/>
      <c r="D625" s="2718"/>
      <c r="E625" s="2718"/>
      <c r="F625" s="2718"/>
      <c r="G625" s="2719"/>
    </row>
    <row r="626" spans="1:7" ht="14.4" thickBot="1" x14ac:dyDescent="0.3">
      <c r="A626" s="2720" t="s">
        <v>2105</v>
      </c>
      <c r="B626" s="2721"/>
      <c r="C626" s="2721"/>
      <c r="D626" s="2721"/>
      <c r="E626" s="2721"/>
      <c r="F626" s="2721"/>
      <c r="G626" s="2722"/>
    </row>
    <row r="627" spans="1:7" ht="14.4" thickBot="1" x14ac:dyDescent="0.3">
      <c r="A627" s="1773"/>
      <c r="B627" s="1774" t="s">
        <v>2094</v>
      </c>
      <c r="C627" s="1774" t="s">
        <v>2095</v>
      </c>
      <c r="D627" s="1774" t="s">
        <v>2</v>
      </c>
      <c r="E627" s="1774" t="s">
        <v>2096</v>
      </c>
      <c r="F627" s="1774" t="s">
        <v>5</v>
      </c>
      <c r="G627" s="1774" t="s">
        <v>2097</v>
      </c>
    </row>
    <row r="628" spans="1:7" ht="13.8" x14ac:dyDescent="0.25">
      <c r="A628" s="1775"/>
      <c r="B628" s="1775"/>
      <c r="C628" s="1776"/>
      <c r="D628" s="1777"/>
      <c r="E628" s="1777"/>
      <c r="F628" s="1777"/>
      <c r="G628" s="1777"/>
    </row>
    <row r="629" spans="1:7" ht="13.8" x14ac:dyDescent="0.25">
      <c r="A629" s="1788"/>
      <c r="B629" s="1714"/>
      <c r="C629" s="1714"/>
      <c r="D629" s="1789"/>
      <c r="E629" s="1789"/>
      <c r="F629" s="1789"/>
      <c r="G629" s="1789"/>
    </row>
    <row r="630" spans="1:7" ht="13.8" x14ac:dyDescent="0.25">
      <c r="A630" s="1788"/>
      <c r="B630" s="1714" t="s">
        <v>2210</v>
      </c>
      <c r="C630" s="1789" t="s">
        <v>131</v>
      </c>
      <c r="D630" s="1789">
        <v>1.4</v>
      </c>
      <c r="E630" s="1789">
        <f>Material!E20</f>
        <v>14500</v>
      </c>
      <c r="F630" s="1789">
        <f>D630*E630</f>
        <v>20300</v>
      </c>
      <c r="G630" s="1789"/>
    </row>
    <row r="631" spans="1:7" ht="13.8" x14ac:dyDescent="0.25">
      <c r="A631" s="1788"/>
      <c r="B631" s="1788" t="s">
        <v>2159</v>
      </c>
      <c r="C631" s="1789" t="s">
        <v>1945</v>
      </c>
      <c r="D631" s="1789">
        <v>5</v>
      </c>
      <c r="E631" s="1789">
        <f>F197</f>
        <v>2235.625</v>
      </c>
      <c r="F631" s="1789">
        <f t="shared" ref="F631:F632" si="72">D631*E631</f>
        <v>11178.125</v>
      </c>
      <c r="G631" s="1789"/>
    </row>
    <row r="632" spans="1:7" ht="13.8" x14ac:dyDescent="0.25">
      <c r="A632" s="1788"/>
      <c r="B632" s="1788" t="s">
        <v>1947</v>
      </c>
      <c r="C632" s="1789" t="s">
        <v>131</v>
      </c>
      <c r="D632" s="1789">
        <v>0.3</v>
      </c>
      <c r="E632" s="1789">
        <f>Material!E13</f>
        <v>23500</v>
      </c>
      <c r="F632" s="1789">
        <f t="shared" si="72"/>
        <v>7050</v>
      </c>
      <c r="G632" s="1789"/>
    </row>
    <row r="633" spans="1:7" ht="13.8" x14ac:dyDescent="0.25">
      <c r="A633" s="1775"/>
      <c r="B633" s="1790"/>
      <c r="C633" s="1777"/>
      <c r="D633" s="1777"/>
      <c r="E633" s="1777">
        <f>[20]Material!D555</f>
        <v>0</v>
      </c>
      <c r="F633" s="1777"/>
      <c r="G633" s="1777"/>
    </row>
    <row r="634" spans="1:7" ht="13.8" x14ac:dyDescent="0.25">
      <c r="A634" s="1775"/>
      <c r="B634" s="1775"/>
      <c r="C634" s="1776"/>
      <c r="D634" s="1777"/>
      <c r="E634" s="1777"/>
      <c r="F634" s="1777">
        <f t="shared" ref="F634:F637" si="73">D634*E634</f>
        <v>0</v>
      </c>
      <c r="G634" s="1777"/>
    </row>
    <row r="635" spans="1:7" ht="13.8" x14ac:dyDescent="0.25">
      <c r="A635" s="1779"/>
      <c r="B635" s="2723" t="s">
        <v>2112</v>
      </c>
      <c r="C635" s="2723"/>
      <c r="D635" s="2723"/>
      <c r="E635" s="2723"/>
      <c r="F635" s="1780"/>
      <c r="G635" s="1781">
        <f>SUM(F629:F635)</f>
        <v>38528.125</v>
      </c>
    </row>
    <row r="636" spans="1:7" ht="13.8" x14ac:dyDescent="0.25">
      <c r="A636" s="1775"/>
      <c r="B636" s="1778" t="s">
        <v>2098</v>
      </c>
      <c r="C636" s="1776"/>
      <c r="D636" s="1777"/>
      <c r="E636" s="1777"/>
      <c r="F636" s="1777">
        <f t="shared" si="73"/>
        <v>0</v>
      </c>
      <c r="G636" s="1777"/>
    </row>
    <row r="637" spans="1:7" ht="13.8" x14ac:dyDescent="0.25">
      <c r="A637" s="1788"/>
      <c r="B637" s="1788" t="s">
        <v>2106</v>
      </c>
      <c r="C637" s="1789" t="s">
        <v>2211</v>
      </c>
      <c r="D637" s="1789">
        <v>100</v>
      </c>
      <c r="E637" s="1789">
        <v>120</v>
      </c>
      <c r="F637" s="1789">
        <f t="shared" si="73"/>
        <v>12000</v>
      </c>
      <c r="G637" s="1789"/>
    </row>
    <row r="638" spans="1:7" ht="13.8" x14ac:dyDescent="0.25">
      <c r="A638" s="1775"/>
      <c r="B638" s="1775"/>
      <c r="C638" s="1777"/>
      <c r="D638" s="1777"/>
      <c r="E638" s="1777"/>
      <c r="F638" s="1777"/>
      <c r="G638" s="1777"/>
    </row>
    <row r="639" spans="1:7" ht="13.8" x14ac:dyDescent="0.25">
      <c r="A639" s="1775"/>
      <c r="B639" s="1775"/>
      <c r="C639" s="1776"/>
      <c r="D639" s="1777"/>
      <c r="E639" s="1777"/>
      <c r="F639" s="1777"/>
      <c r="G639" s="1777"/>
    </row>
    <row r="640" spans="1:7" ht="13.8" x14ac:dyDescent="0.25">
      <c r="A640" s="1779"/>
      <c r="B640" s="2723" t="s">
        <v>2100</v>
      </c>
      <c r="C640" s="2723"/>
      <c r="D640" s="2723"/>
      <c r="E640" s="2723"/>
      <c r="F640" s="1780">
        <f t="shared" ref="F640" si="74">D640*E640</f>
        <v>0</v>
      </c>
      <c r="G640" s="1781">
        <f>SUM(F637:F640)</f>
        <v>12000</v>
      </c>
    </row>
    <row r="641" spans="1:7" ht="13.8" x14ac:dyDescent="0.25">
      <c r="A641" s="1775"/>
      <c r="B641" s="1782"/>
      <c r="C641" s="1782"/>
      <c r="D641" s="1782"/>
      <c r="E641" s="1782"/>
      <c r="F641" s="1777"/>
      <c r="G641" s="1782"/>
    </row>
    <row r="642" spans="1:7" ht="13.8" x14ac:dyDescent="0.25">
      <c r="A642" s="1775"/>
      <c r="B642" s="1782"/>
      <c r="C642" s="1782"/>
      <c r="D642" s="1782"/>
      <c r="E642" s="1782"/>
      <c r="F642" s="1777"/>
      <c r="G642" s="1782"/>
    </row>
    <row r="643" spans="1:7" ht="13.8" x14ac:dyDescent="0.25">
      <c r="A643" s="2716" t="s">
        <v>2107</v>
      </c>
      <c r="B643" s="2716"/>
      <c r="C643" s="2716"/>
      <c r="D643" s="2716"/>
      <c r="E643" s="2716"/>
      <c r="F643" s="2716"/>
      <c r="G643" s="1783">
        <f>G635+G640</f>
        <v>50528.125</v>
      </c>
    </row>
    <row r="644" spans="1:7" ht="13.8" x14ac:dyDescent="0.25">
      <c r="A644" s="2716" t="s">
        <v>2212</v>
      </c>
      <c r="B644" s="2716"/>
      <c r="C644" s="2716"/>
      <c r="D644" s="2716"/>
      <c r="E644" s="2716"/>
      <c r="F644" s="2716"/>
      <c r="G644" s="1783">
        <f>G643/2.83</f>
        <v>17854.461130742049</v>
      </c>
    </row>
    <row r="647" spans="1:7" x14ac:dyDescent="0.25">
      <c r="A647" s="2733" t="s">
        <v>2213</v>
      </c>
      <c r="B647" s="2733"/>
      <c r="C647" s="2733"/>
      <c r="D647" s="2733"/>
      <c r="E647" s="2733"/>
      <c r="F647" s="2733"/>
      <c r="G647" s="2733"/>
    </row>
    <row r="648" spans="1:7" ht="13.8" thickBot="1" x14ac:dyDescent="0.3"/>
    <row r="649" spans="1:7" ht="13.8" x14ac:dyDescent="0.25">
      <c r="A649" s="2717" t="s">
        <v>2214</v>
      </c>
      <c r="B649" s="2718"/>
      <c r="C649" s="2718"/>
      <c r="D649" s="2718"/>
      <c r="E649" s="2718"/>
      <c r="F649" s="2718"/>
      <c r="G649" s="2719"/>
    </row>
    <row r="650" spans="1:7" ht="14.4" thickBot="1" x14ac:dyDescent="0.3">
      <c r="A650" s="2720" t="s">
        <v>2093</v>
      </c>
      <c r="B650" s="2721"/>
      <c r="C650" s="2721"/>
      <c r="D650" s="2721"/>
      <c r="E650" s="2721"/>
      <c r="F650" s="2721"/>
      <c r="G650" s="2722"/>
    </row>
    <row r="651" spans="1:7" ht="14.4" thickBot="1" x14ac:dyDescent="0.3">
      <c r="A651" s="1773"/>
      <c r="B651" s="1774" t="s">
        <v>2094</v>
      </c>
      <c r="C651" s="1774" t="s">
        <v>2095</v>
      </c>
      <c r="D651" s="1774" t="s">
        <v>2</v>
      </c>
      <c r="E651" s="1774" t="s">
        <v>2096</v>
      </c>
      <c r="F651" s="1774" t="s">
        <v>5</v>
      </c>
      <c r="G651" s="1774" t="s">
        <v>2097</v>
      </c>
    </row>
    <row r="652" spans="1:7" ht="13.8" x14ac:dyDescent="0.25">
      <c r="A652" s="1775"/>
      <c r="B652" s="1775"/>
      <c r="C652" s="1776"/>
      <c r="D652" s="1777"/>
      <c r="E652" s="1777"/>
      <c r="F652" s="1777"/>
      <c r="G652" s="1777"/>
    </row>
    <row r="653" spans="1:7" ht="13.8" x14ac:dyDescent="0.25">
      <c r="A653" s="1775"/>
      <c r="B653" s="1778" t="s">
        <v>2111</v>
      </c>
      <c r="C653" s="1776"/>
      <c r="D653" s="1777"/>
      <c r="E653" s="1777"/>
      <c r="F653" s="1777"/>
      <c r="G653" s="1777"/>
    </row>
    <row r="654" spans="1:7" ht="13.8" x14ac:dyDescent="0.25">
      <c r="A654" s="1788"/>
      <c r="B654" s="1788" t="s">
        <v>2215</v>
      </c>
      <c r="C654" s="1789" t="s">
        <v>0</v>
      </c>
      <c r="D654" s="1789">
        <v>1325</v>
      </c>
      <c r="E654" s="1789">
        <f>Material!E107</f>
        <v>18</v>
      </c>
      <c r="F654" s="1789">
        <f>D654*E654</f>
        <v>23850</v>
      </c>
      <c r="G654" s="1789"/>
    </row>
    <row r="655" spans="1:7" ht="13.8" x14ac:dyDescent="0.25">
      <c r="A655" s="1788"/>
      <c r="B655" s="1817" t="s">
        <v>2216</v>
      </c>
      <c r="C655" s="1714"/>
      <c r="D655" s="1789"/>
      <c r="E655" s="1789"/>
      <c r="F655" s="1789">
        <f>F654*5%</f>
        <v>1192.5</v>
      </c>
      <c r="G655" s="1789"/>
    </row>
    <row r="656" spans="1:7" ht="13.8" x14ac:dyDescent="0.25">
      <c r="A656" s="1788"/>
      <c r="B656" s="1788" t="s">
        <v>2159</v>
      </c>
      <c r="C656" s="1789" t="s">
        <v>1945</v>
      </c>
      <c r="D656" s="1789">
        <v>4.4000000000000004</v>
      </c>
      <c r="E656" s="1789">
        <f>F197</f>
        <v>2235.625</v>
      </c>
      <c r="F656" s="1789">
        <f>D656*E656</f>
        <v>9836.75</v>
      </c>
      <c r="G656" s="1789"/>
    </row>
    <row r="657" spans="1:7" ht="13.8" x14ac:dyDescent="0.25">
      <c r="A657" s="1788"/>
      <c r="B657" s="1788" t="s">
        <v>1947</v>
      </c>
      <c r="C657" s="1789" t="s">
        <v>131</v>
      </c>
      <c r="D657" s="1789">
        <v>0.27</v>
      </c>
      <c r="E657" s="1789">
        <f>Material!E13</f>
        <v>23500</v>
      </c>
      <c r="F657" s="1789">
        <f>D657*E657</f>
        <v>6345</v>
      </c>
      <c r="G657" s="1789"/>
    </row>
    <row r="658" spans="1:7" ht="13.8" x14ac:dyDescent="0.25">
      <c r="A658" s="1775"/>
      <c r="B658" s="1775"/>
      <c r="C658" s="1776"/>
      <c r="D658" s="1777"/>
      <c r="E658" s="1777"/>
      <c r="F658" s="1777">
        <f t="shared" ref="F658" si="75">D658*E658</f>
        <v>0</v>
      </c>
      <c r="G658" s="1777"/>
    </row>
    <row r="659" spans="1:7" ht="13.8" x14ac:dyDescent="0.25">
      <c r="A659" s="1779"/>
      <c r="B659" s="2723" t="s">
        <v>2112</v>
      </c>
      <c r="C659" s="2723"/>
      <c r="D659" s="2723"/>
      <c r="E659" s="2723"/>
      <c r="F659" s="1780"/>
      <c r="G659" s="1781">
        <f>SUM(F654:F659)</f>
        <v>41224.25</v>
      </c>
    </row>
    <row r="660" spans="1:7" ht="13.8" x14ac:dyDescent="0.25">
      <c r="A660" s="1775"/>
      <c r="B660" s="1778" t="s">
        <v>2098</v>
      </c>
      <c r="C660" s="1776"/>
      <c r="D660" s="1777"/>
      <c r="E660" s="1777"/>
      <c r="F660" s="1777">
        <f t="shared" ref="F660:F661" si="76">D660*E660</f>
        <v>0</v>
      </c>
      <c r="G660" s="1777"/>
    </row>
    <row r="661" spans="1:7" ht="13.8" x14ac:dyDescent="0.25">
      <c r="A661" s="1788"/>
      <c r="B661" s="1788" t="s">
        <v>2106</v>
      </c>
      <c r="C661" s="1789" t="s">
        <v>2126</v>
      </c>
      <c r="D661" s="1789">
        <v>100</v>
      </c>
      <c r="E661" s="1789">
        <v>130</v>
      </c>
      <c r="F661" s="1789">
        <f t="shared" si="76"/>
        <v>13000</v>
      </c>
      <c r="G661" s="1789"/>
    </row>
    <row r="662" spans="1:7" ht="13.8" x14ac:dyDescent="0.25">
      <c r="A662" s="1788"/>
      <c r="B662" s="1788"/>
      <c r="C662" s="1789"/>
      <c r="D662" s="1789"/>
      <c r="E662" s="1789"/>
      <c r="F662" s="1789"/>
      <c r="G662" s="1789"/>
    </row>
    <row r="663" spans="1:7" ht="13.8" x14ac:dyDescent="0.25">
      <c r="A663" s="1775"/>
      <c r="B663" s="1775" t="s">
        <v>2217</v>
      </c>
      <c r="C663" s="1777"/>
      <c r="D663" s="1777"/>
      <c r="E663" s="1777"/>
      <c r="F663" s="1777">
        <f>F661*5%</f>
        <v>650</v>
      </c>
      <c r="G663" s="1777"/>
    </row>
    <row r="664" spans="1:7" ht="13.8" x14ac:dyDescent="0.25">
      <c r="A664" s="1775"/>
      <c r="B664" s="1775"/>
      <c r="C664" s="1776"/>
      <c r="D664" s="1777"/>
      <c r="E664" s="1777"/>
      <c r="F664" s="1777"/>
      <c r="G664" s="1777"/>
    </row>
    <row r="665" spans="1:7" ht="13.8" x14ac:dyDescent="0.25">
      <c r="A665" s="1779"/>
      <c r="B665" s="2723" t="s">
        <v>2100</v>
      </c>
      <c r="C665" s="2723"/>
      <c r="D665" s="2723"/>
      <c r="E665" s="2723"/>
      <c r="F665" s="1780">
        <f t="shared" ref="F665" si="77">D665*E665</f>
        <v>0</v>
      </c>
      <c r="G665" s="1781">
        <f>SUM(F661:F665)</f>
        <v>13650</v>
      </c>
    </row>
    <row r="666" spans="1:7" ht="13.8" x14ac:dyDescent="0.25">
      <c r="A666" s="1775"/>
      <c r="B666" s="1782"/>
      <c r="C666" s="1782"/>
      <c r="D666" s="1782"/>
      <c r="E666" s="1782"/>
      <c r="F666" s="1777"/>
      <c r="G666" s="1782"/>
    </row>
    <row r="667" spans="1:7" ht="13.8" x14ac:dyDescent="0.25">
      <c r="A667" s="1775"/>
      <c r="B667" s="1782"/>
      <c r="C667" s="1782"/>
      <c r="D667" s="1782"/>
      <c r="E667" s="1782"/>
      <c r="F667" s="1777"/>
      <c r="G667" s="1782"/>
    </row>
    <row r="668" spans="1:7" ht="13.8" x14ac:dyDescent="0.25">
      <c r="A668" s="2716" t="s">
        <v>2127</v>
      </c>
      <c r="B668" s="2716"/>
      <c r="C668" s="2716"/>
      <c r="D668" s="2716"/>
      <c r="E668" s="2716"/>
      <c r="F668" s="2716"/>
      <c r="G668" s="1783">
        <f>G659+G665</f>
        <v>54874.25</v>
      </c>
    </row>
    <row r="669" spans="1:7" ht="13.8" x14ac:dyDescent="0.25">
      <c r="A669" s="2716" t="s">
        <v>2128</v>
      </c>
      <c r="B669" s="2716"/>
      <c r="C669" s="2716"/>
      <c r="D669" s="2716"/>
      <c r="E669" s="2716"/>
      <c r="F669" s="2716"/>
      <c r="G669" s="1783">
        <f>G668/9.29</f>
        <v>5906.8083961248658</v>
      </c>
    </row>
    <row r="670" spans="1:7" ht="13.8" x14ac:dyDescent="0.25">
      <c r="A670" s="2716" t="s">
        <v>2129</v>
      </c>
      <c r="B670" s="2716"/>
      <c r="C670" s="2716"/>
      <c r="D670" s="2716"/>
      <c r="E670" s="2716"/>
      <c r="F670" s="2716"/>
      <c r="G670" s="1822">
        <f>G669/10.76</f>
        <v>548.95988811569384</v>
      </c>
    </row>
    <row r="673" spans="1:7" ht="13.8" thickBot="1" x14ac:dyDescent="0.3"/>
    <row r="674" spans="1:7" ht="13.8" x14ac:dyDescent="0.25">
      <c r="A674" s="2717" t="s">
        <v>2218</v>
      </c>
      <c r="B674" s="2718"/>
      <c r="C674" s="2718"/>
      <c r="D674" s="2718"/>
      <c r="E674" s="2718"/>
      <c r="F674" s="2718"/>
      <c r="G674" s="2719"/>
    </row>
    <row r="675" spans="1:7" ht="14.4" thickBot="1" x14ac:dyDescent="0.3">
      <c r="A675" s="2720" t="s">
        <v>2093</v>
      </c>
      <c r="B675" s="2721"/>
      <c r="C675" s="2721"/>
      <c r="D675" s="2721"/>
      <c r="E675" s="2721"/>
      <c r="F675" s="2721"/>
      <c r="G675" s="2722"/>
    </row>
    <row r="676" spans="1:7" ht="14.4" thickBot="1" x14ac:dyDescent="0.3">
      <c r="A676" s="1773"/>
      <c r="B676" s="1774" t="s">
        <v>2094</v>
      </c>
      <c r="C676" s="1774" t="s">
        <v>2095</v>
      </c>
      <c r="D676" s="1774" t="s">
        <v>2</v>
      </c>
      <c r="E676" s="1774" t="s">
        <v>2096</v>
      </c>
      <c r="F676" s="1774" t="s">
        <v>5</v>
      </c>
      <c r="G676" s="1774" t="s">
        <v>2097</v>
      </c>
    </row>
    <row r="677" spans="1:7" ht="13.8" x14ac:dyDescent="0.25">
      <c r="A677" s="1775"/>
      <c r="B677" s="1775"/>
      <c r="C677" s="1776"/>
      <c r="D677" s="1777"/>
      <c r="E677" s="1777"/>
      <c r="F677" s="1777"/>
      <c r="G677" s="1777"/>
    </row>
    <row r="678" spans="1:7" ht="13.8" x14ac:dyDescent="0.25">
      <c r="A678" s="1788"/>
      <c r="B678" s="1788" t="s">
        <v>1941</v>
      </c>
      <c r="C678" s="1714"/>
      <c r="D678" s="1789"/>
      <c r="E678" s="1789"/>
      <c r="F678" s="1789"/>
      <c r="G678" s="1789"/>
    </row>
    <row r="679" spans="1:7" ht="13.8" x14ac:dyDescent="0.25">
      <c r="A679" s="1788"/>
      <c r="B679" s="1788" t="s">
        <v>2219</v>
      </c>
      <c r="C679" s="1789" t="s">
        <v>0</v>
      </c>
      <c r="D679" s="1789">
        <v>430</v>
      </c>
      <c r="E679" s="1789">
        <f>Material!E108</f>
        <v>38</v>
      </c>
      <c r="F679" s="1789">
        <f t="shared" ref="F679" si="78">D679*E679</f>
        <v>16340</v>
      </c>
      <c r="G679" s="1789"/>
    </row>
    <row r="680" spans="1:7" ht="13.8" x14ac:dyDescent="0.25">
      <c r="A680" s="1788"/>
      <c r="B680" s="1817" t="s">
        <v>2216</v>
      </c>
      <c r="C680" s="1714"/>
      <c r="D680" s="1789"/>
      <c r="E680" s="1789"/>
      <c r="F680" s="1789">
        <f>F679*5%</f>
        <v>817</v>
      </c>
      <c r="G680" s="1789"/>
    </row>
    <row r="681" spans="1:7" ht="13.8" x14ac:dyDescent="0.25">
      <c r="A681" s="1788"/>
      <c r="B681" s="1788" t="s">
        <v>2159</v>
      </c>
      <c r="C681" s="1789" t="s">
        <v>1945</v>
      </c>
      <c r="D681" s="1789">
        <v>2.2999999999999998</v>
      </c>
      <c r="E681" s="1789">
        <f>F197</f>
        <v>2235.625</v>
      </c>
      <c r="F681" s="1789">
        <f>D681*E681</f>
        <v>5141.9375</v>
      </c>
      <c r="G681" s="1789"/>
    </row>
    <row r="682" spans="1:7" ht="13.8" x14ac:dyDescent="0.25">
      <c r="A682" s="1788"/>
      <c r="B682" s="1788" t="s">
        <v>1947</v>
      </c>
      <c r="C682" s="1789" t="s">
        <v>131</v>
      </c>
      <c r="D682" s="1789">
        <v>0.15</v>
      </c>
      <c r="E682" s="1789">
        <f>Material!E13</f>
        <v>23500</v>
      </c>
      <c r="F682" s="1789">
        <f>D682*E682</f>
        <v>3525</v>
      </c>
      <c r="G682" s="1789"/>
    </row>
    <row r="683" spans="1:7" ht="13.8" x14ac:dyDescent="0.25">
      <c r="A683" s="1788"/>
      <c r="B683" s="1817"/>
      <c r="C683" s="1789"/>
      <c r="D683" s="1789"/>
      <c r="E683" s="1789"/>
      <c r="F683" s="1789"/>
      <c r="G683" s="1789"/>
    </row>
    <row r="684" spans="1:7" ht="13.8" x14ac:dyDescent="0.25">
      <c r="A684" s="1775"/>
      <c r="B684" s="1776"/>
      <c r="C684" s="1777"/>
      <c r="D684" s="1777"/>
      <c r="E684" s="1777"/>
      <c r="F684" s="1777">
        <f t="shared" ref="F684:F685" si="79">D684*E684</f>
        <v>0</v>
      </c>
      <c r="G684" s="1777"/>
    </row>
    <row r="685" spans="1:7" ht="13.8" x14ac:dyDescent="0.25">
      <c r="A685" s="1775"/>
      <c r="B685" s="1775"/>
      <c r="C685" s="1776"/>
      <c r="D685" s="1777"/>
      <c r="E685" s="1777"/>
      <c r="F685" s="1777">
        <f t="shared" si="79"/>
        <v>0</v>
      </c>
      <c r="G685" s="1777"/>
    </row>
    <row r="686" spans="1:7" ht="13.8" x14ac:dyDescent="0.25">
      <c r="A686" s="1779"/>
      <c r="B686" s="2723" t="s">
        <v>2112</v>
      </c>
      <c r="C686" s="2723"/>
      <c r="D686" s="2723"/>
      <c r="E686" s="2723"/>
      <c r="F686" s="1780"/>
      <c r="G686" s="1781">
        <f>SUM(F678:F686)</f>
        <v>25823.9375</v>
      </c>
    </row>
    <row r="687" spans="1:7" ht="13.8" x14ac:dyDescent="0.25">
      <c r="A687" s="1788"/>
      <c r="B687" s="1823" t="s">
        <v>2098</v>
      </c>
      <c r="C687" s="1714"/>
      <c r="D687" s="1789"/>
      <c r="E687" s="1789"/>
      <c r="F687" s="1789">
        <f t="shared" ref="F687:F688" si="80">D687*E687</f>
        <v>0</v>
      </c>
      <c r="G687" s="1789"/>
    </row>
    <row r="688" spans="1:7" ht="13.8" x14ac:dyDescent="0.25">
      <c r="A688" s="1788"/>
      <c r="B688" s="1788" t="s">
        <v>2106</v>
      </c>
      <c r="C688" s="1789" t="s">
        <v>2126</v>
      </c>
      <c r="D688" s="1789">
        <v>100</v>
      </c>
      <c r="E688" s="1789">
        <v>110</v>
      </c>
      <c r="F688" s="1789">
        <f t="shared" si="80"/>
        <v>11000</v>
      </c>
      <c r="G688" s="1789"/>
    </row>
    <row r="689" spans="1:7" ht="13.8" x14ac:dyDescent="0.25">
      <c r="A689" s="1788"/>
      <c r="B689" s="1788"/>
      <c r="C689" s="1789"/>
      <c r="D689" s="1789"/>
      <c r="E689" s="1789"/>
      <c r="F689" s="1789"/>
      <c r="G689" s="1789"/>
    </row>
    <row r="690" spans="1:7" ht="13.8" x14ac:dyDescent="0.25">
      <c r="A690" s="1775"/>
      <c r="B690" s="1775" t="s">
        <v>2217</v>
      </c>
      <c r="C690" s="1777"/>
      <c r="D690" s="1777"/>
      <c r="E690" s="1777"/>
      <c r="F690" s="1777">
        <f>F688*5%</f>
        <v>550</v>
      </c>
      <c r="G690" s="1777"/>
    </row>
    <row r="691" spans="1:7" ht="13.8" x14ac:dyDescent="0.25">
      <c r="A691" s="1775"/>
      <c r="B691" s="1775"/>
      <c r="C691" s="1776"/>
      <c r="D691" s="1777"/>
      <c r="E691" s="1777"/>
      <c r="F691" s="1777"/>
      <c r="G691" s="1777"/>
    </row>
    <row r="692" spans="1:7" ht="13.8" x14ac:dyDescent="0.25">
      <c r="A692" s="1779"/>
      <c r="B692" s="2723" t="s">
        <v>2100</v>
      </c>
      <c r="C692" s="2723"/>
      <c r="D692" s="2723"/>
      <c r="E692" s="2723"/>
      <c r="F692" s="1780">
        <f t="shared" ref="F692" si="81">D692*E692</f>
        <v>0</v>
      </c>
      <c r="G692" s="1781">
        <f>SUM(F688:F692)</f>
        <v>11550</v>
      </c>
    </row>
    <row r="693" spans="1:7" ht="13.8" x14ac:dyDescent="0.25">
      <c r="A693" s="1775"/>
      <c r="B693" s="1782"/>
      <c r="C693" s="1782"/>
      <c r="D693" s="1782"/>
      <c r="E693" s="1782"/>
      <c r="F693" s="1777"/>
      <c r="G693" s="1782"/>
    </row>
    <row r="694" spans="1:7" ht="13.8" x14ac:dyDescent="0.25">
      <c r="A694" s="1775"/>
      <c r="B694" s="1782"/>
      <c r="C694" s="1782"/>
      <c r="D694" s="1782"/>
      <c r="E694" s="1782"/>
      <c r="F694" s="1777"/>
      <c r="G694" s="1782"/>
    </row>
    <row r="695" spans="1:7" ht="13.8" x14ac:dyDescent="0.25">
      <c r="A695" s="2716" t="s">
        <v>2127</v>
      </c>
      <c r="B695" s="2716"/>
      <c r="C695" s="2716"/>
      <c r="D695" s="2716"/>
      <c r="E695" s="2716"/>
      <c r="F695" s="2716"/>
      <c r="G695" s="1783">
        <f>G686+G692</f>
        <v>37373.9375</v>
      </c>
    </row>
    <row r="696" spans="1:7" ht="13.8" x14ac:dyDescent="0.25">
      <c r="A696" s="2716" t="s">
        <v>2128</v>
      </c>
      <c r="B696" s="2716"/>
      <c r="C696" s="2716"/>
      <c r="D696" s="2716"/>
      <c r="E696" s="2716"/>
      <c r="F696" s="2716"/>
      <c r="G696" s="1783">
        <f>G695/9.29</f>
        <v>4023.0287944025836</v>
      </c>
    </row>
    <row r="697" spans="1:7" ht="13.8" x14ac:dyDescent="0.25">
      <c r="A697" s="2716" t="s">
        <v>2129</v>
      </c>
      <c r="B697" s="2716"/>
      <c r="C697" s="2716"/>
      <c r="D697" s="2716"/>
      <c r="E697" s="2716"/>
      <c r="F697" s="2716"/>
      <c r="G697" s="1824">
        <f>G696/10.76</f>
        <v>373.88743442403194</v>
      </c>
    </row>
    <row r="700" spans="1:7" ht="13.8" thickBot="1" x14ac:dyDescent="0.3"/>
    <row r="701" spans="1:7" ht="13.8" x14ac:dyDescent="0.25">
      <c r="A701" s="2717" t="s">
        <v>2220</v>
      </c>
      <c r="B701" s="2718"/>
      <c r="C701" s="2718"/>
      <c r="D701" s="2718"/>
      <c r="E701" s="2718"/>
      <c r="F701" s="2718"/>
      <c r="G701" s="2719"/>
    </row>
    <row r="702" spans="1:7" ht="14.4" thickBot="1" x14ac:dyDescent="0.3">
      <c r="A702" s="2720" t="s">
        <v>2093</v>
      </c>
      <c r="B702" s="2721"/>
      <c r="C702" s="2721"/>
      <c r="D702" s="2721"/>
      <c r="E702" s="2721"/>
      <c r="F702" s="2721"/>
      <c r="G702" s="2722"/>
    </row>
    <row r="703" spans="1:7" ht="14.4" thickBot="1" x14ac:dyDescent="0.3">
      <c r="A703" s="1773"/>
      <c r="B703" s="1774" t="s">
        <v>2094</v>
      </c>
      <c r="C703" s="1774" t="s">
        <v>2095</v>
      </c>
      <c r="D703" s="1774" t="s">
        <v>2</v>
      </c>
      <c r="E703" s="1774" t="s">
        <v>2096</v>
      </c>
      <c r="F703" s="1774" t="s">
        <v>5</v>
      </c>
      <c r="G703" s="1774" t="s">
        <v>2097</v>
      </c>
    </row>
    <row r="704" spans="1:7" ht="13.8" x14ac:dyDescent="0.25">
      <c r="A704" s="1775"/>
      <c r="B704" s="1775"/>
      <c r="C704" s="1776"/>
      <c r="D704" s="1777"/>
      <c r="E704" s="1777"/>
      <c r="F704" s="1777"/>
      <c r="G704" s="1777"/>
    </row>
    <row r="705" spans="1:7" ht="13.8" x14ac:dyDescent="0.25">
      <c r="A705" s="1788"/>
      <c r="B705" s="1788" t="s">
        <v>2215</v>
      </c>
      <c r="C705" s="1789" t="s">
        <v>0</v>
      </c>
      <c r="D705" s="1789">
        <v>650</v>
      </c>
      <c r="E705" s="1789">
        <f>Material!E107</f>
        <v>18</v>
      </c>
      <c r="F705" s="1789">
        <f>D705*E705</f>
        <v>11700</v>
      </c>
      <c r="G705" s="1789"/>
    </row>
    <row r="706" spans="1:7" ht="13.8" x14ac:dyDescent="0.25">
      <c r="A706" s="1788"/>
      <c r="B706" s="1817" t="s">
        <v>2216</v>
      </c>
      <c r="C706" s="1714"/>
      <c r="D706" s="1789"/>
      <c r="E706" s="1789"/>
      <c r="F706" s="1789">
        <f>F705*5%</f>
        <v>585</v>
      </c>
      <c r="G706" s="1789"/>
    </row>
    <row r="707" spans="1:7" ht="13.8" x14ac:dyDescent="0.25">
      <c r="A707" s="1788"/>
      <c r="B707" s="1788" t="s">
        <v>2159</v>
      </c>
      <c r="C707" s="1789" t="s">
        <v>1945</v>
      </c>
      <c r="D707" s="1789">
        <v>1.53</v>
      </c>
      <c r="E707" s="1789">
        <f>F197</f>
        <v>2235.625</v>
      </c>
      <c r="F707" s="1789">
        <f>D707*E707</f>
        <v>3420.5062499999999</v>
      </c>
      <c r="G707" s="1789"/>
    </row>
    <row r="708" spans="1:7" ht="13.8" x14ac:dyDescent="0.25">
      <c r="A708" s="1788"/>
      <c r="B708" s="1788" t="s">
        <v>1947</v>
      </c>
      <c r="C708" s="1789" t="s">
        <v>131</v>
      </c>
      <c r="D708" s="1789">
        <v>0.1</v>
      </c>
      <c r="E708" s="1789">
        <f>Material!E13</f>
        <v>23500</v>
      </c>
      <c r="F708" s="1789">
        <f>D708*E708</f>
        <v>2350</v>
      </c>
      <c r="G708" s="1789"/>
    </row>
    <row r="709" spans="1:7" ht="13.8" x14ac:dyDescent="0.25">
      <c r="A709" s="1775"/>
      <c r="B709" s="1790"/>
      <c r="C709" s="1777"/>
      <c r="D709" s="1777"/>
      <c r="E709" s="1777"/>
      <c r="F709" s="1777"/>
      <c r="G709" s="1777"/>
    </row>
    <row r="710" spans="1:7" ht="13.8" x14ac:dyDescent="0.25">
      <c r="A710" s="1775"/>
      <c r="B710" s="1776"/>
      <c r="C710" s="1777"/>
      <c r="D710" s="1777"/>
      <c r="E710" s="1777"/>
      <c r="F710" s="1777">
        <f t="shared" ref="F710:F711" si="82">D710*E710</f>
        <v>0</v>
      </c>
      <c r="G710" s="1777"/>
    </row>
    <row r="711" spans="1:7" ht="13.8" x14ac:dyDescent="0.25">
      <c r="A711" s="1775"/>
      <c r="B711" s="1775"/>
      <c r="C711" s="1776"/>
      <c r="D711" s="1777"/>
      <c r="E711" s="1777"/>
      <c r="F711" s="1777">
        <f t="shared" si="82"/>
        <v>0</v>
      </c>
      <c r="G711" s="1777"/>
    </row>
    <row r="712" spans="1:7" ht="13.8" x14ac:dyDescent="0.25">
      <c r="A712" s="1779"/>
      <c r="B712" s="2723" t="s">
        <v>2112</v>
      </c>
      <c r="C712" s="2723"/>
      <c r="D712" s="2723"/>
      <c r="E712" s="2723"/>
      <c r="F712" s="1780"/>
      <c r="G712" s="1781">
        <f>SUM(F705:F712)</f>
        <v>18055.506249999999</v>
      </c>
    </row>
    <row r="713" spans="1:7" ht="13.8" x14ac:dyDescent="0.25">
      <c r="A713" s="1775"/>
      <c r="B713" s="1778" t="s">
        <v>2098</v>
      </c>
      <c r="C713" s="1776"/>
      <c r="D713" s="1777"/>
      <c r="E713" s="1777"/>
      <c r="F713" s="1777">
        <f t="shared" ref="F713:F714" si="83">D713*E713</f>
        <v>0</v>
      </c>
      <c r="G713" s="1777"/>
    </row>
    <row r="714" spans="1:7" ht="13.8" x14ac:dyDescent="0.25">
      <c r="A714" s="1788"/>
      <c r="B714" s="1788" t="s">
        <v>2106</v>
      </c>
      <c r="C714" s="1789" t="s">
        <v>2126</v>
      </c>
      <c r="D714" s="1789">
        <v>100</v>
      </c>
      <c r="E714" s="1789">
        <v>90</v>
      </c>
      <c r="F714" s="1789">
        <f t="shared" si="83"/>
        <v>9000</v>
      </c>
      <c r="G714" s="1789"/>
    </row>
    <row r="715" spans="1:7" ht="13.8" x14ac:dyDescent="0.25">
      <c r="A715" s="1788"/>
      <c r="B715" s="1788"/>
      <c r="C715" s="1789"/>
      <c r="D715" s="1789"/>
      <c r="E715" s="1789"/>
      <c r="F715" s="1789"/>
      <c r="G715" s="1789"/>
    </row>
    <row r="716" spans="1:7" ht="13.8" x14ac:dyDescent="0.25">
      <c r="A716" s="1775"/>
      <c r="B716" s="1775" t="s">
        <v>2217</v>
      </c>
      <c r="C716" s="1777"/>
      <c r="D716" s="1777"/>
      <c r="E716" s="1777"/>
      <c r="F716" s="1777">
        <f>F714*5%</f>
        <v>450</v>
      </c>
      <c r="G716" s="1777"/>
    </row>
    <row r="717" spans="1:7" ht="13.8" x14ac:dyDescent="0.25">
      <c r="A717" s="1775"/>
      <c r="B717" s="1775"/>
      <c r="C717" s="1776"/>
      <c r="D717" s="1777"/>
      <c r="E717" s="1777"/>
      <c r="F717" s="1777"/>
      <c r="G717" s="1777"/>
    </row>
    <row r="718" spans="1:7" ht="13.8" x14ac:dyDescent="0.25">
      <c r="A718" s="1779"/>
      <c r="B718" s="2723" t="s">
        <v>2100</v>
      </c>
      <c r="C718" s="2723"/>
      <c r="D718" s="2723"/>
      <c r="E718" s="2723"/>
      <c r="F718" s="1780">
        <f t="shared" ref="F718" si="84">D718*E718</f>
        <v>0</v>
      </c>
      <c r="G718" s="1781">
        <f>SUM(F714:F718)</f>
        <v>9450</v>
      </c>
    </row>
    <row r="719" spans="1:7" ht="13.8" x14ac:dyDescent="0.25">
      <c r="A719" s="1775"/>
      <c r="B719" s="1782"/>
      <c r="C719" s="1782"/>
      <c r="D719" s="1782"/>
      <c r="E719" s="1782"/>
      <c r="F719" s="1777"/>
      <c r="G719" s="1782"/>
    </row>
    <row r="720" spans="1:7" ht="13.8" x14ac:dyDescent="0.25">
      <c r="A720" s="1775"/>
      <c r="B720" s="1782"/>
      <c r="C720" s="1782"/>
      <c r="D720" s="1782"/>
      <c r="E720" s="1782"/>
      <c r="F720" s="1777"/>
      <c r="G720" s="1782"/>
    </row>
    <row r="721" spans="1:29" s="1809" customFormat="1" ht="13.8" x14ac:dyDescent="0.25">
      <c r="A721" s="2716" t="s">
        <v>2127</v>
      </c>
      <c r="B721" s="2716"/>
      <c r="C721" s="2716"/>
      <c r="D721" s="2716"/>
      <c r="E721" s="2716"/>
      <c r="F721" s="2716"/>
      <c r="G721" s="1783">
        <f>G712+G718</f>
        <v>27505.506249999999</v>
      </c>
      <c r="H721" s="2014"/>
      <c r="I721" s="2014"/>
      <c r="J721" s="2014"/>
      <c r="P721" s="1772"/>
      <c r="Q721" s="1772"/>
      <c r="R721" s="1772"/>
      <c r="S721" s="1772"/>
      <c r="T721" s="1772"/>
      <c r="U721" s="1772"/>
      <c r="V721" s="1772"/>
      <c r="W721" s="1772"/>
      <c r="X721" s="1772"/>
      <c r="Y721" s="1772"/>
      <c r="Z721" s="1772"/>
      <c r="AA721" s="1772"/>
      <c r="AB721" s="1772"/>
      <c r="AC721" s="1772"/>
    </row>
    <row r="722" spans="1:29" s="1809" customFormat="1" ht="13.8" x14ac:dyDescent="0.25">
      <c r="A722" s="2716" t="s">
        <v>2128</v>
      </c>
      <c r="B722" s="2716"/>
      <c r="C722" s="2716"/>
      <c r="D722" s="2716"/>
      <c r="E722" s="2716"/>
      <c r="F722" s="2716"/>
      <c r="G722" s="1783">
        <f>G721/9.29</f>
        <v>2960.7649354144241</v>
      </c>
      <c r="H722" s="2014"/>
      <c r="I722" s="2014"/>
      <c r="J722" s="2014"/>
      <c r="P722" s="1772"/>
      <c r="Q722" s="1772"/>
      <c r="R722" s="1772"/>
      <c r="S722" s="1772"/>
      <c r="T722" s="1772"/>
      <c r="U722" s="1772"/>
      <c r="V722" s="1772"/>
      <c r="W722" s="1772"/>
      <c r="X722" s="1772"/>
      <c r="Y722" s="1772"/>
      <c r="Z722" s="1772"/>
      <c r="AA722" s="1772"/>
      <c r="AB722" s="1772"/>
      <c r="AC722" s="1772"/>
    </row>
    <row r="723" spans="1:29" s="1809" customFormat="1" ht="13.8" x14ac:dyDescent="0.25">
      <c r="A723" s="2716" t="s">
        <v>2129</v>
      </c>
      <c r="B723" s="2716"/>
      <c r="C723" s="2716"/>
      <c r="D723" s="2716"/>
      <c r="E723" s="2716"/>
      <c r="F723" s="2716"/>
      <c r="G723" s="1825">
        <f>G722/10.76</f>
        <v>275.16402745487215</v>
      </c>
      <c r="H723" s="2014"/>
      <c r="I723" s="2014"/>
      <c r="J723" s="2014"/>
      <c r="P723" s="1772"/>
      <c r="Q723" s="1772"/>
      <c r="R723" s="1772"/>
      <c r="S723" s="1772"/>
      <c r="T723" s="1772"/>
      <c r="U723" s="1772"/>
      <c r="V723" s="1772"/>
      <c r="W723" s="1772"/>
      <c r="X723" s="1772"/>
      <c r="Y723" s="1772"/>
      <c r="Z723" s="1772"/>
      <c r="AA723" s="1772"/>
      <c r="AB723" s="1772"/>
      <c r="AC723" s="1772"/>
    </row>
    <row r="725" spans="1:29" s="1809" customFormat="1" x14ac:dyDescent="0.25">
      <c r="A725" s="2735" t="s">
        <v>2221</v>
      </c>
      <c r="B725" s="2735"/>
      <c r="C725" s="2735"/>
      <c r="D725" s="2735"/>
      <c r="E725" s="2735"/>
      <c r="F725" s="2735"/>
      <c r="G725" s="2735"/>
      <c r="H725" s="2014"/>
      <c r="I725" s="2014"/>
      <c r="J725" s="2014"/>
      <c r="P725" s="1772"/>
      <c r="Q725" s="1772"/>
      <c r="R725" s="1772"/>
      <c r="S725" s="1772"/>
      <c r="T725" s="1772"/>
      <c r="U725" s="1772"/>
      <c r="V725" s="1772"/>
      <c r="W725" s="1772"/>
      <c r="X725" s="1772"/>
      <c r="Y725" s="1772"/>
      <c r="Z725" s="1772"/>
      <c r="AA725" s="1772"/>
      <c r="AB725" s="1772"/>
      <c r="AC725" s="1772"/>
    </row>
    <row r="728" spans="1:29" s="1809" customFormat="1" x14ac:dyDescent="0.25">
      <c r="A728" s="2734" t="s">
        <v>2222</v>
      </c>
      <c r="B728" s="2734"/>
      <c r="C728" s="1772"/>
      <c r="D728" s="1772"/>
      <c r="E728" s="1772"/>
      <c r="F728" s="1772"/>
      <c r="G728" s="1772"/>
      <c r="H728" s="2014"/>
      <c r="I728" s="2014"/>
      <c r="J728" s="2014"/>
      <c r="P728" s="1772"/>
      <c r="Q728" s="1772"/>
      <c r="R728" s="1772"/>
      <c r="S728" s="1772"/>
      <c r="T728" s="1772"/>
      <c r="U728" s="1772"/>
      <c r="V728" s="1772"/>
      <c r="W728" s="1772"/>
      <c r="X728" s="1772"/>
      <c r="Y728" s="1772"/>
      <c r="Z728" s="1772"/>
      <c r="AA728" s="1772"/>
      <c r="AB728" s="1772"/>
      <c r="AC728" s="1772"/>
    </row>
    <row r="730" spans="1:29" s="1809" customFormat="1" ht="13.8" thickBot="1" x14ac:dyDescent="0.3">
      <c r="A730" s="1772"/>
      <c r="B730" s="1772"/>
      <c r="C730" s="1772"/>
      <c r="D730" s="1772"/>
      <c r="E730" s="1772"/>
      <c r="F730" s="1772"/>
      <c r="G730" s="1772"/>
      <c r="H730" s="2014"/>
      <c r="I730" s="2014"/>
      <c r="J730" s="2014"/>
      <c r="P730" s="1772"/>
      <c r="Q730" s="1772"/>
      <c r="R730" s="1772"/>
      <c r="S730" s="1772"/>
      <c r="T730" s="1772"/>
      <c r="U730" s="1772"/>
      <c r="V730" s="1772"/>
      <c r="W730" s="1772"/>
      <c r="X730" s="1772"/>
      <c r="Y730" s="1772"/>
      <c r="Z730" s="1772"/>
      <c r="AA730" s="1772"/>
      <c r="AB730" s="1772"/>
      <c r="AC730" s="1772"/>
    </row>
    <row r="731" spans="1:29" s="1809" customFormat="1" ht="13.8" x14ac:dyDescent="0.25">
      <c r="A731" s="2717" t="s">
        <v>2223</v>
      </c>
      <c r="B731" s="2718"/>
      <c r="C731" s="2718"/>
      <c r="D731" s="2718"/>
      <c r="E731" s="2718"/>
      <c r="F731" s="2718"/>
      <c r="G731" s="2719"/>
      <c r="H731" s="2014"/>
      <c r="I731" s="2014"/>
      <c r="J731" s="2014"/>
      <c r="P731" s="1772"/>
      <c r="Q731" s="1772"/>
      <c r="R731" s="1772"/>
      <c r="S731" s="1772"/>
      <c r="T731" s="1772"/>
      <c r="U731" s="1772"/>
      <c r="V731" s="1772"/>
      <c r="W731" s="1772"/>
      <c r="X731" s="1772"/>
      <c r="Y731" s="1772"/>
      <c r="Z731" s="1772"/>
      <c r="AA731" s="1772"/>
      <c r="AB731" s="1772"/>
      <c r="AC731" s="1772"/>
    </row>
    <row r="732" spans="1:29" s="1809" customFormat="1" ht="14.4" thickBot="1" x14ac:dyDescent="0.3">
      <c r="A732" s="2720" t="s">
        <v>2093</v>
      </c>
      <c r="B732" s="2721"/>
      <c r="C732" s="2721"/>
      <c r="D732" s="2721"/>
      <c r="E732" s="2721"/>
      <c r="F732" s="2721"/>
      <c r="G732" s="2722"/>
      <c r="H732" s="2014"/>
      <c r="I732" s="2014"/>
      <c r="J732" s="2014"/>
      <c r="P732" s="1772"/>
      <c r="Q732" s="1772"/>
      <c r="R732" s="1772"/>
      <c r="S732" s="1772"/>
      <c r="T732" s="1772"/>
      <c r="U732" s="1772"/>
      <c r="V732" s="1772"/>
      <c r="W732" s="1772"/>
      <c r="X732" s="1772"/>
      <c r="Y732" s="1772"/>
      <c r="Z732" s="1772"/>
      <c r="AA732" s="1772"/>
      <c r="AB732" s="1772"/>
      <c r="AC732" s="1772"/>
    </row>
    <row r="733" spans="1:29" s="1809" customFormat="1" ht="14.4" thickBot="1" x14ac:dyDescent="0.3">
      <c r="A733" s="1773"/>
      <c r="B733" s="1774" t="s">
        <v>2094</v>
      </c>
      <c r="C733" s="1774" t="s">
        <v>2095</v>
      </c>
      <c r="D733" s="1774" t="s">
        <v>2</v>
      </c>
      <c r="E733" s="1774" t="s">
        <v>2096</v>
      </c>
      <c r="F733" s="1774" t="s">
        <v>5</v>
      </c>
      <c r="G733" s="1774" t="s">
        <v>2097</v>
      </c>
      <c r="H733" s="2014">
        <f>0.1*1.3333</f>
        <v>0.13333</v>
      </c>
      <c r="I733" s="2014">
        <f>H733/6</f>
        <v>2.2221666666666667E-2</v>
      </c>
      <c r="J733" s="2014">
        <f>I733*1440</f>
        <v>31.999200000000002</v>
      </c>
      <c r="K733" s="1809">
        <f>32/50</f>
        <v>0.64</v>
      </c>
      <c r="L733" s="1809">
        <f>I733*5</f>
        <v>0.11110833333333334</v>
      </c>
      <c r="M733" s="1809">
        <f>L733/2.83</f>
        <v>3.9260895170789165E-2</v>
      </c>
      <c r="P733" s="1772"/>
      <c r="Q733" s="1772"/>
      <c r="R733" s="1772"/>
      <c r="S733" s="1772"/>
      <c r="T733" s="1772"/>
      <c r="U733" s="1772"/>
      <c r="V733" s="1772"/>
      <c r="W733" s="1772"/>
      <c r="X733" s="1772"/>
      <c r="Y733" s="1772"/>
      <c r="Z733" s="1772"/>
      <c r="AA733" s="1772"/>
      <c r="AB733" s="1772"/>
      <c r="AC733" s="1772"/>
    </row>
    <row r="734" spans="1:29" s="1809" customFormat="1" ht="13.8" x14ac:dyDescent="0.25">
      <c r="A734" s="1775"/>
      <c r="B734" s="1775"/>
      <c r="C734" s="1776"/>
      <c r="D734" s="1777"/>
      <c r="E734" s="1777"/>
      <c r="F734" s="1777"/>
      <c r="G734" s="1777"/>
      <c r="H734" s="2014"/>
      <c r="I734" s="2014">
        <f>0.405*0.205</f>
        <v>8.3025000000000002E-2</v>
      </c>
      <c r="J734" s="2014">
        <f>I734*112</f>
        <v>9.2988</v>
      </c>
      <c r="P734" s="1772"/>
      <c r="Q734" s="1772"/>
      <c r="R734" s="1772"/>
      <c r="S734" s="1772"/>
      <c r="T734" s="1772"/>
      <c r="U734" s="1772"/>
      <c r="V734" s="1772"/>
      <c r="W734" s="1772"/>
      <c r="X734" s="1772"/>
      <c r="Y734" s="1772"/>
      <c r="Z734" s="1772"/>
      <c r="AA734" s="1772"/>
      <c r="AB734" s="1772"/>
      <c r="AC734" s="1772"/>
    </row>
    <row r="735" spans="1:29" s="1809" customFormat="1" ht="13.8" x14ac:dyDescent="0.25">
      <c r="A735" s="1788"/>
      <c r="B735" s="1788" t="s">
        <v>2224</v>
      </c>
      <c r="C735" s="1789" t="s">
        <v>0</v>
      </c>
      <c r="D735" s="1789">
        <v>112</v>
      </c>
      <c r="E735" s="1789">
        <f>Material!D111</f>
        <v>156</v>
      </c>
      <c r="F735" s="1789">
        <f>D735*E735</f>
        <v>17472</v>
      </c>
      <c r="G735" s="1789"/>
      <c r="H735" s="2014"/>
      <c r="I735" s="2014"/>
      <c r="J735" s="2014"/>
      <c r="L735" s="1809">
        <f>9.29*0.1</f>
        <v>0.92899999999999994</v>
      </c>
      <c r="P735" s="1772"/>
      <c r="Q735" s="1772"/>
      <c r="R735" s="1772"/>
      <c r="S735" s="1772"/>
      <c r="T735" s="1772"/>
      <c r="U735" s="1772"/>
      <c r="V735" s="1772"/>
      <c r="W735" s="1772"/>
      <c r="X735" s="1772"/>
      <c r="Y735" s="1772"/>
      <c r="Z735" s="1772"/>
      <c r="AA735" s="1772"/>
      <c r="AB735" s="1772"/>
      <c r="AC735" s="1772"/>
    </row>
    <row r="736" spans="1:29" s="1809" customFormat="1" ht="13.8" x14ac:dyDescent="0.25">
      <c r="A736" s="1788"/>
      <c r="B736" s="1817" t="s">
        <v>2216</v>
      </c>
      <c r="C736" s="1714"/>
      <c r="D736" s="1789"/>
      <c r="E736" s="1789"/>
      <c r="F736" s="1789">
        <f>F735*5%</f>
        <v>873.6</v>
      </c>
      <c r="G736" s="1789"/>
      <c r="H736" s="2014"/>
      <c r="I736" s="2014">
        <f>0.39*0.19*0.1</f>
        <v>7.4099999999999999E-3</v>
      </c>
      <c r="J736" s="2014"/>
      <c r="L736" s="1809">
        <f>L735-I737</f>
        <v>9.9079999999999946E-2</v>
      </c>
      <c r="P736" s="1772"/>
      <c r="Q736" s="1772"/>
      <c r="R736" s="1772"/>
      <c r="S736" s="1772"/>
      <c r="T736" s="1772"/>
      <c r="U736" s="1772"/>
      <c r="V736" s="1772"/>
      <c r="W736" s="1772"/>
      <c r="X736" s="1772"/>
      <c r="Y736" s="1772"/>
      <c r="Z736" s="1772"/>
      <c r="AA736" s="1772"/>
      <c r="AB736" s="1772"/>
      <c r="AC736" s="1772"/>
    </row>
    <row r="737" spans="1:29" s="1809" customFormat="1" ht="13.8" x14ac:dyDescent="0.25">
      <c r="A737" s="1788"/>
      <c r="B737" s="1788" t="s">
        <v>2159</v>
      </c>
      <c r="C737" s="1789" t="s">
        <v>1945</v>
      </c>
      <c r="D737" s="1789">
        <v>0.64</v>
      </c>
      <c r="E737" s="1789">
        <f>F197</f>
        <v>2235.625</v>
      </c>
      <c r="F737" s="1789">
        <f>D737*E737</f>
        <v>1430.8</v>
      </c>
      <c r="G737" s="1789"/>
      <c r="H737" s="2014"/>
      <c r="I737" s="2014">
        <f>I736*112</f>
        <v>0.82991999999999999</v>
      </c>
      <c r="J737" s="2014"/>
      <c r="P737" s="1772"/>
      <c r="Q737" s="1772"/>
      <c r="R737" s="1772"/>
      <c r="S737" s="1772"/>
      <c r="T737" s="1772"/>
      <c r="U737" s="1772"/>
      <c r="V737" s="1772"/>
      <c r="W737" s="1772"/>
      <c r="X737" s="1772"/>
      <c r="Y737" s="1772"/>
      <c r="Z737" s="1772"/>
      <c r="AA737" s="1772"/>
      <c r="AB737" s="1772"/>
      <c r="AC737" s="1772"/>
    </row>
    <row r="738" spans="1:29" s="1809" customFormat="1" ht="13.8" x14ac:dyDescent="0.25">
      <c r="A738" s="1788"/>
      <c r="B738" s="1788" t="s">
        <v>1947</v>
      </c>
      <c r="C738" s="1789" t="s">
        <v>131</v>
      </c>
      <c r="D738" s="1789">
        <v>0.14000000000000001</v>
      </c>
      <c r="E738" s="1789">
        <f>Material!E13</f>
        <v>23500</v>
      </c>
      <c r="F738" s="1789">
        <f>D738*E738</f>
        <v>3290.0000000000005</v>
      </c>
      <c r="G738" s="1789"/>
      <c r="H738" s="2014"/>
      <c r="I738" s="2014"/>
      <c r="J738" s="2014"/>
      <c r="L738" s="1809">
        <f>0.1</f>
        <v>0.1</v>
      </c>
      <c r="M738" s="1809">
        <f>L738*1.3333</f>
        <v>0.13333</v>
      </c>
      <c r="N738" s="1826">
        <f>M738/6</f>
        <v>2.2221666666666667E-2</v>
      </c>
      <c r="P738" s="1772"/>
      <c r="Q738" s="1772"/>
      <c r="R738" s="1772"/>
      <c r="S738" s="1772"/>
      <c r="T738" s="1772"/>
      <c r="U738" s="1772"/>
      <c r="V738" s="1772"/>
      <c r="W738" s="1772"/>
      <c r="X738" s="1772"/>
      <c r="Y738" s="1772"/>
      <c r="Z738" s="1772"/>
      <c r="AA738" s="1772"/>
      <c r="AB738" s="1772"/>
      <c r="AC738" s="1772"/>
    </row>
    <row r="739" spans="1:29" s="1809" customFormat="1" ht="13.8" x14ac:dyDescent="0.25">
      <c r="A739" s="1775"/>
      <c r="B739" s="1790"/>
      <c r="C739" s="1777"/>
      <c r="D739" s="1777"/>
      <c r="E739" s="1777"/>
      <c r="F739" s="1777"/>
      <c r="G739" s="1777"/>
      <c r="H739" s="2014"/>
      <c r="I739" s="2014"/>
      <c r="J739" s="2014"/>
      <c r="P739" s="1772"/>
      <c r="Q739" s="1772"/>
      <c r="R739" s="1772"/>
      <c r="S739" s="1772"/>
      <c r="T739" s="1772"/>
      <c r="U739" s="1772"/>
      <c r="V739" s="1772"/>
      <c r="W739" s="1772"/>
      <c r="X739" s="1772"/>
      <c r="Y739" s="1772"/>
      <c r="Z739" s="1772"/>
      <c r="AA739" s="1772"/>
      <c r="AB739" s="1772"/>
      <c r="AC739" s="1772"/>
    </row>
    <row r="740" spans="1:29" s="1809" customFormat="1" ht="13.8" x14ac:dyDescent="0.25">
      <c r="A740" s="1775"/>
      <c r="B740" s="1776"/>
      <c r="C740" s="1777"/>
      <c r="D740" s="1777"/>
      <c r="E740" s="1777"/>
      <c r="F740" s="1777">
        <f t="shared" ref="F740:F741" si="85">D740*E740</f>
        <v>0</v>
      </c>
      <c r="G740" s="1777"/>
      <c r="H740" s="2014"/>
      <c r="I740" s="2014"/>
      <c r="J740" s="2014"/>
      <c r="L740" s="1826">
        <v>0.02</v>
      </c>
      <c r="M740" s="1809">
        <v>1440</v>
      </c>
      <c r="N740" s="1827">
        <f>L740*M740</f>
        <v>28.8</v>
      </c>
      <c r="P740" s="1772"/>
      <c r="Q740" s="1772"/>
      <c r="R740" s="1772"/>
      <c r="S740" s="1772"/>
      <c r="T740" s="1772"/>
      <c r="U740" s="1772"/>
      <c r="V740" s="1772"/>
      <c r="W740" s="1772"/>
      <c r="X740" s="1772"/>
      <c r="Y740" s="1772"/>
      <c r="Z740" s="1772"/>
      <c r="AA740" s="1772"/>
      <c r="AB740" s="1772"/>
      <c r="AC740" s="1772"/>
    </row>
    <row r="741" spans="1:29" s="1809" customFormat="1" ht="13.8" x14ac:dyDescent="0.25">
      <c r="A741" s="1775"/>
      <c r="B741" s="1775"/>
      <c r="C741" s="1776"/>
      <c r="D741" s="1777"/>
      <c r="E741" s="1777"/>
      <c r="F741" s="1777">
        <f t="shared" si="85"/>
        <v>0</v>
      </c>
      <c r="G741" s="1777"/>
      <c r="H741" s="2014"/>
      <c r="I741" s="2014"/>
      <c r="J741" s="2014"/>
      <c r="P741" s="1772"/>
      <c r="Q741" s="1772"/>
      <c r="R741" s="1772"/>
      <c r="S741" s="1772"/>
      <c r="T741" s="1772"/>
      <c r="U741" s="1772"/>
      <c r="V741" s="1772"/>
      <c r="W741" s="1772"/>
      <c r="X741" s="1772"/>
      <c r="Y741" s="1772"/>
      <c r="Z741" s="1772"/>
      <c r="AA741" s="1772"/>
      <c r="AB741" s="1772"/>
      <c r="AC741" s="1772"/>
    </row>
    <row r="742" spans="1:29" s="1809" customFormat="1" ht="13.8" x14ac:dyDescent="0.25">
      <c r="A742" s="1779"/>
      <c r="B742" s="2723" t="s">
        <v>2112</v>
      </c>
      <c r="C742" s="2723"/>
      <c r="D742" s="2723"/>
      <c r="E742" s="2723"/>
      <c r="F742" s="1780"/>
      <c r="G742" s="1781">
        <f>SUM(F735:F742)</f>
        <v>23066.399999999998</v>
      </c>
      <c r="H742" s="2014"/>
      <c r="I742" s="2014"/>
      <c r="J742" s="2014"/>
      <c r="L742" s="1809">
        <f>0.02</f>
        <v>0.02</v>
      </c>
      <c r="M742" s="1809">
        <v>5</v>
      </c>
      <c r="N742" s="1809">
        <f>L742*M742</f>
        <v>0.1</v>
      </c>
      <c r="P742" s="1772"/>
      <c r="Q742" s="1772"/>
      <c r="R742" s="1772"/>
      <c r="S742" s="1772"/>
      <c r="T742" s="1772"/>
      <c r="U742" s="1772"/>
      <c r="V742" s="1772"/>
      <c r="W742" s="1772"/>
      <c r="X742" s="1772"/>
      <c r="Y742" s="1772"/>
      <c r="Z742" s="1772"/>
      <c r="AA742" s="1772"/>
      <c r="AB742" s="1772"/>
      <c r="AC742" s="1772"/>
    </row>
    <row r="743" spans="1:29" s="1809" customFormat="1" ht="13.8" x14ac:dyDescent="0.25">
      <c r="A743" s="1775"/>
      <c r="B743" s="1778" t="s">
        <v>2098</v>
      </c>
      <c r="C743" s="1776"/>
      <c r="D743" s="1777"/>
      <c r="E743" s="1777"/>
      <c r="F743" s="1777">
        <f t="shared" ref="F743:F744" si="86">D743*E743</f>
        <v>0</v>
      </c>
      <c r="G743" s="1777"/>
      <c r="H743" s="2014"/>
      <c r="I743" s="2014"/>
      <c r="J743" s="2014"/>
      <c r="P743" s="1772"/>
      <c r="Q743" s="1772"/>
      <c r="R743" s="1772"/>
      <c r="S743" s="1772"/>
      <c r="T743" s="1772"/>
      <c r="U743" s="1772"/>
      <c r="V743" s="1772"/>
      <c r="W743" s="1772"/>
      <c r="X743" s="1772"/>
      <c r="Y743" s="1772"/>
      <c r="Z743" s="1772"/>
      <c r="AA743" s="1772"/>
      <c r="AB743" s="1772"/>
      <c r="AC743" s="1772"/>
    </row>
    <row r="744" spans="1:29" s="1809" customFormat="1" ht="13.8" x14ac:dyDescent="0.25">
      <c r="A744" s="1788"/>
      <c r="B744" s="1788" t="s">
        <v>2106</v>
      </c>
      <c r="C744" s="1789" t="s">
        <v>2126</v>
      </c>
      <c r="D744" s="1789">
        <v>100</v>
      </c>
      <c r="E744" s="1789">
        <v>66</v>
      </c>
      <c r="F744" s="1789">
        <f t="shared" si="86"/>
        <v>6600</v>
      </c>
      <c r="G744" s="1789"/>
      <c r="H744" s="2014"/>
      <c r="I744" s="2014">
        <f>0.1*1.3333</f>
        <v>0.13333</v>
      </c>
      <c r="J744" s="2014"/>
      <c r="P744" s="1772"/>
      <c r="Q744" s="1772"/>
      <c r="R744" s="1772"/>
      <c r="S744" s="1772"/>
      <c r="T744" s="1772"/>
      <c r="U744" s="1772"/>
      <c r="V744" s="1772"/>
      <c r="W744" s="1772"/>
      <c r="X744" s="1772"/>
      <c r="Y744" s="1772"/>
      <c r="Z744" s="1772"/>
      <c r="AA744" s="1772"/>
      <c r="AB744" s="1772"/>
      <c r="AC744" s="1772"/>
    </row>
    <row r="745" spans="1:29" s="1809" customFormat="1" ht="13.8" x14ac:dyDescent="0.25">
      <c r="A745" s="1788"/>
      <c r="B745" s="1788"/>
      <c r="C745" s="1789"/>
      <c r="D745" s="1789"/>
      <c r="E745" s="1789"/>
      <c r="F745" s="1789"/>
      <c r="G745" s="1789"/>
      <c r="H745" s="2014"/>
      <c r="I745" s="2014">
        <f>I744/6</f>
        <v>2.2221666666666667E-2</v>
      </c>
      <c r="J745" s="2014"/>
      <c r="P745" s="1772"/>
      <c r="Q745" s="1772"/>
      <c r="R745" s="1772"/>
      <c r="S745" s="1772"/>
      <c r="T745" s="1772"/>
      <c r="U745" s="1772"/>
      <c r="V745" s="1772"/>
      <c r="W745" s="1772"/>
      <c r="X745" s="1772"/>
      <c r="Y745" s="1772"/>
      <c r="Z745" s="1772"/>
      <c r="AA745" s="1772"/>
      <c r="AB745" s="1772"/>
      <c r="AC745" s="1772"/>
    </row>
    <row r="746" spans="1:29" s="1809" customFormat="1" ht="13.8" x14ac:dyDescent="0.25">
      <c r="A746" s="1788"/>
      <c r="B746" s="1775" t="s">
        <v>2225</v>
      </c>
      <c r="C746" s="1789"/>
      <c r="D746" s="1789"/>
      <c r="E746" s="1789"/>
      <c r="F746" s="1789">
        <f>F744*3%</f>
        <v>198</v>
      </c>
      <c r="G746" s="1789"/>
      <c r="H746" s="2014"/>
      <c r="I746" s="2014"/>
      <c r="J746" s="2014"/>
      <c r="P746" s="1772"/>
      <c r="Q746" s="1772"/>
      <c r="R746" s="1772"/>
      <c r="S746" s="1772"/>
      <c r="T746" s="1772"/>
      <c r="U746" s="1772"/>
      <c r="V746" s="1772"/>
      <c r="W746" s="1772"/>
      <c r="X746" s="1772"/>
      <c r="Y746" s="1772"/>
      <c r="Z746" s="1772"/>
      <c r="AA746" s="1772"/>
      <c r="AB746" s="1772"/>
      <c r="AC746" s="1772"/>
    </row>
    <row r="747" spans="1:29" s="1809" customFormat="1" ht="13.8" x14ac:dyDescent="0.25">
      <c r="A747" s="1775"/>
      <c r="B747" s="1775" t="s">
        <v>2217</v>
      </c>
      <c r="C747" s="1777"/>
      <c r="D747" s="1777"/>
      <c r="E747" s="1777"/>
      <c r="F747" s="1777">
        <f>F744*5%</f>
        <v>330</v>
      </c>
      <c r="G747" s="1777"/>
      <c r="H747" s="2014"/>
      <c r="I747" s="2014"/>
      <c r="J747" s="2014"/>
      <c r="P747" s="1772"/>
      <c r="Q747" s="1772"/>
      <c r="R747" s="1772"/>
      <c r="S747" s="1772"/>
      <c r="T747" s="1772"/>
      <c r="U747" s="1772"/>
      <c r="V747" s="1772"/>
      <c r="W747" s="1772"/>
      <c r="X747" s="1772"/>
      <c r="Y747" s="1772"/>
      <c r="Z747" s="1772"/>
      <c r="AA747" s="1772"/>
      <c r="AB747" s="1772"/>
      <c r="AC747" s="1772"/>
    </row>
    <row r="748" spans="1:29" s="1809" customFormat="1" ht="13.8" x14ac:dyDescent="0.25">
      <c r="A748" s="1775"/>
      <c r="B748" s="1775"/>
      <c r="C748" s="1776"/>
      <c r="D748" s="1777"/>
      <c r="E748" s="1777"/>
      <c r="F748" s="1777"/>
      <c r="G748" s="1777"/>
      <c r="H748" s="2014"/>
      <c r="I748" s="2014"/>
      <c r="J748" s="2014"/>
      <c r="P748" s="1772"/>
      <c r="Q748" s="1772"/>
      <c r="R748" s="1772"/>
      <c r="S748" s="1772"/>
      <c r="T748" s="1772"/>
      <c r="U748" s="1772"/>
      <c r="V748" s="1772"/>
      <c r="W748" s="1772"/>
      <c r="X748" s="1772"/>
      <c r="Y748" s="1772"/>
      <c r="Z748" s="1772"/>
      <c r="AA748" s="1772"/>
      <c r="AB748" s="1772"/>
      <c r="AC748" s="1772"/>
    </row>
    <row r="749" spans="1:29" s="1809" customFormat="1" ht="13.8" x14ac:dyDescent="0.25">
      <c r="A749" s="1779"/>
      <c r="B749" s="2723" t="s">
        <v>2100</v>
      </c>
      <c r="C749" s="2723"/>
      <c r="D749" s="2723"/>
      <c r="E749" s="2723"/>
      <c r="F749" s="1780">
        <f t="shared" ref="F749" si="87">D749*E749</f>
        <v>0</v>
      </c>
      <c r="G749" s="1781">
        <f>SUM(F744:F749)</f>
        <v>7128</v>
      </c>
      <c r="H749" s="2014"/>
      <c r="I749" s="2014"/>
      <c r="J749" s="2014"/>
      <c r="P749" s="1772"/>
      <c r="Q749" s="1772"/>
      <c r="R749" s="1772"/>
      <c r="S749" s="1772"/>
      <c r="T749" s="1772"/>
      <c r="U749" s="1772"/>
      <c r="V749" s="1772"/>
      <c r="W749" s="1772"/>
      <c r="X749" s="1772"/>
      <c r="Y749" s="1772"/>
      <c r="Z749" s="1772"/>
      <c r="AA749" s="1772"/>
      <c r="AB749" s="1772"/>
      <c r="AC749" s="1772"/>
    </row>
    <row r="750" spans="1:29" s="1809" customFormat="1" ht="13.8" x14ac:dyDescent="0.25">
      <c r="A750" s="1775"/>
      <c r="B750" s="1782"/>
      <c r="C750" s="1782"/>
      <c r="D750" s="1782"/>
      <c r="E750" s="1782"/>
      <c r="F750" s="1777"/>
      <c r="G750" s="1782"/>
      <c r="H750" s="2014"/>
      <c r="I750" s="2014"/>
      <c r="J750" s="2014"/>
      <c r="P750" s="1772"/>
      <c r="Q750" s="1772"/>
      <c r="R750" s="1772"/>
      <c r="S750" s="1772"/>
      <c r="T750" s="1772"/>
      <c r="U750" s="1772"/>
      <c r="V750" s="1772"/>
      <c r="W750" s="1772"/>
      <c r="X750" s="1772"/>
      <c r="Y750" s="1772"/>
      <c r="Z750" s="1772"/>
      <c r="AA750" s="1772"/>
      <c r="AB750" s="1772"/>
      <c r="AC750" s="1772"/>
    </row>
    <row r="751" spans="1:29" s="1809" customFormat="1" ht="13.8" x14ac:dyDescent="0.25">
      <c r="A751" s="1775"/>
      <c r="B751" s="1782"/>
      <c r="C751" s="1782"/>
      <c r="D751" s="1782"/>
      <c r="E751" s="1782"/>
      <c r="F751" s="1777"/>
      <c r="G751" s="1782"/>
      <c r="H751" s="2014"/>
      <c r="I751" s="2014"/>
      <c r="J751" s="2014"/>
      <c r="P751" s="1772"/>
      <c r="Q751" s="1772"/>
      <c r="R751" s="1772"/>
      <c r="S751" s="1772"/>
      <c r="T751" s="1772"/>
      <c r="U751" s="1772"/>
      <c r="V751" s="1772"/>
      <c r="W751" s="1772"/>
      <c r="X751" s="1772"/>
      <c r="Y751" s="1772"/>
      <c r="Z751" s="1772"/>
      <c r="AA751" s="1772"/>
      <c r="AB751" s="1772"/>
      <c r="AC751" s="1772"/>
    </row>
    <row r="752" spans="1:29" s="1809" customFormat="1" ht="13.8" x14ac:dyDescent="0.25">
      <c r="A752" s="2716" t="s">
        <v>2127</v>
      </c>
      <c r="B752" s="2716"/>
      <c r="C752" s="2716"/>
      <c r="D752" s="2716"/>
      <c r="E752" s="2716"/>
      <c r="F752" s="2716"/>
      <c r="G752" s="1783">
        <f>G742+G749</f>
        <v>30194.399999999998</v>
      </c>
      <c r="H752" s="2014"/>
      <c r="I752" s="2014"/>
      <c r="J752" s="2014"/>
      <c r="P752" s="1772"/>
      <c r="Q752" s="1772"/>
      <c r="R752" s="1772"/>
      <c r="S752" s="1772"/>
      <c r="T752" s="1772"/>
      <c r="U752" s="1772"/>
      <c r="V752" s="1772"/>
      <c r="W752" s="1772"/>
      <c r="X752" s="1772"/>
      <c r="Y752" s="1772"/>
      <c r="Z752" s="1772"/>
      <c r="AA752" s="1772"/>
      <c r="AB752" s="1772"/>
      <c r="AC752" s="1772"/>
    </row>
    <row r="753" spans="1:29" s="1809" customFormat="1" ht="13.8" x14ac:dyDescent="0.25">
      <c r="A753" s="2716" t="s">
        <v>2128</v>
      </c>
      <c r="B753" s="2716"/>
      <c r="C753" s="2716"/>
      <c r="D753" s="2716"/>
      <c r="E753" s="2716"/>
      <c r="F753" s="2716"/>
      <c r="G753" s="1783">
        <f>G752/9.29</f>
        <v>3250.2045209903122</v>
      </c>
      <c r="H753" s="2014"/>
      <c r="I753" s="2014">
        <v>3213.82</v>
      </c>
      <c r="J753" s="2014">
        <v>3302</v>
      </c>
      <c r="P753" s="1772"/>
      <c r="Q753" s="1772"/>
      <c r="R753" s="1772"/>
      <c r="S753" s="1772"/>
      <c r="T753" s="1772"/>
      <c r="U753" s="1772"/>
      <c r="V753" s="1772"/>
      <c r="W753" s="1772"/>
      <c r="X753" s="1772"/>
      <c r="Y753" s="1772"/>
      <c r="Z753" s="1772"/>
      <c r="AA753" s="1772"/>
      <c r="AB753" s="1772"/>
      <c r="AC753" s="1772"/>
    </row>
    <row r="754" spans="1:29" s="1809" customFormat="1" ht="13.8" x14ac:dyDescent="0.25">
      <c r="A754" s="2716" t="s">
        <v>2129</v>
      </c>
      <c r="B754" s="2716"/>
      <c r="C754" s="2716"/>
      <c r="D754" s="2716"/>
      <c r="E754" s="2716"/>
      <c r="F754" s="2716"/>
      <c r="G754" s="1828">
        <f>G753/10.76</f>
        <v>302.06361719240817</v>
      </c>
      <c r="H754" s="2014"/>
      <c r="I754" s="2014">
        <f>I753*1.05</f>
        <v>3374.5110000000004</v>
      </c>
      <c r="J754" s="2014"/>
      <c r="P754" s="1772"/>
      <c r="Q754" s="1772"/>
      <c r="R754" s="1772"/>
      <c r="S754" s="1772"/>
      <c r="T754" s="1772"/>
      <c r="U754" s="1772"/>
      <c r="V754" s="1772"/>
      <c r="W754" s="1772"/>
      <c r="X754" s="1772"/>
      <c r="Y754" s="1772"/>
      <c r="Z754" s="1772"/>
      <c r="AA754" s="1772"/>
      <c r="AB754" s="1772"/>
      <c r="AC754" s="1772"/>
    </row>
    <row r="758" spans="1:29" s="1809" customFormat="1" x14ac:dyDescent="0.25">
      <c r="A758" s="2734" t="s">
        <v>2226</v>
      </c>
      <c r="B758" s="2734"/>
      <c r="C758" s="1772"/>
      <c r="D758" s="1772"/>
      <c r="E758" s="1772"/>
      <c r="F758" s="1772"/>
      <c r="G758" s="1772"/>
      <c r="H758" s="2014"/>
      <c r="I758" s="2014"/>
      <c r="J758" s="2014"/>
      <c r="P758" s="1772"/>
      <c r="Q758" s="1772"/>
      <c r="R758" s="1772"/>
      <c r="S758" s="1772"/>
      <c r="T758" s="1772"/>
      <c r="U758" s="1772"/>
      <c r="V758" s="1772"/>
      <c r="W758" s="1772"/>
      <c r="X758" s="1772"/>
      <c r="Y758" s="1772"/>
      <c r="Z758" s="1772"/>
      <c r="AA758" s="1772"/>
      <c r="AB758" s="1772"/>
      <c r="AC758" s="1772"/>
    </row>
    <row r="760" spans="1:29" s="1809" customFormat="1" ht="13.8" thickBot="1" x14ac:dyDescent="0.3">
      <c r="A760" s="1772"/>
      <c r="B760" s="1772"/>
      <c r="C760" s="1772"/>
      <c r="D760" s="1772"/>
      <c r="E760" s="1772"/>
      <c r="F760" s="1772"/>
      <c r="G760" s="1772"/>
      <c r="H760" s="2014"/>
      <c r="I760" s="2014"/>
      <c r="J760" s="2014"/>
      <c r="P760" s="1772"/>
      <c r="Q760" s="1772"/>
      <c r="R760" s="1772"/>
      <c r="S760" s="1772"/>
      <c r="T760" s="1772"/>
      <c r="U760" s="1772"/>
      <c r="V760" s="1772"/>
      <c r="W760" s="1772"/>
      <c r="X760" s="1772"/>
      <c r="Y760" s="1772"/>
      <c r="Z760" s="1772"/>
      <c r="AA760" s="1772"/>
      <c r="AB760" s="1772"/>
      <c r="AC760" s="1772"/>
    </row>
    <row r="761" spans="1:29" s="1809" customFormat="1" ht="13.8" x14ac:dyDescent="0.25">
      <c r="A761" s="2717" t="s">
        <v>2227</v>
      </c>
      <c r="B761" s="2718"/>
      <c r="C761" s="2718"/>
      <c r="D761" s="2718"/>
      <c r="E761" s="2718"/>
      <c r="F761" s="2718"/>
      <c r="G761" s="2719"/>
      <c r="H761" s="2014"/>
      <c r="I761" s="2014"/>
      <c r="J761" s="2014"/>
      <c r="P761" s="1772"/>
      <c r="Q761" s="1772"/>
      <c r="R761" s="1772"/>
      <c r="S761" s="1772"/>
      <c r="T761" s="1772"/>
      <c r="U761" s="1772"/>
      <c r="V761" s="1772"/>
      <c r="W761" s="1772"/>
      <c r="X761" s="1772"/>
      <c r="Y761" s="1772"/>
      <c r="Z761" s="1772"/>
      <c r="AA761" s="1772"/>
      <c r="AB761" s="1772"/>
      <c r="AC761" s="1772"/>
    </row>
    <row r="762" spans="1:29" s="1809" customFormat="1" ht="14.4" thickBot="1" x14ac:dyDescent="0.3">
      <c r="A762" s="2720" t="s">
        <v>2093</v>
      </c>
      <c r="B762" s="2721"/>
      <c r="C762" s="2721"/>
      <c r="D762" s="2721"/>
      <c r="E762" s="2721"/>
      <c r="F762" s="2721"/>
      <c r="G762" s="2722"/>
      <c r="H762" s="2014"/>
      <c r="I762" s="2014"/>
      <c r="J762" s="2014"/>
      <c r="P762" s="1772"/>
      <c r="Q762" s="1772"/>
      <c r="R762" s="1772"/>
      <c r="S762" s="1772"/>
      <c r="T762" s="1772"/>
      <c r="U762" s="1772"/>
      <c r="V762" s="1772"/>
      <c r="W762" s="1772"/>
      <c r="X762" s="1772"/>
      <c r="Y762" s="1772"/>
      <c r="Z762" s="1772"/>
      <c r="AA762" s="1772"/>
      <c r="AB762" s="1772"/>
      <c r="AC762" s="1772"/>
    </row>
    <row r="763" spans="1:29" s="1809" customFormat="1" ht="14.4" thickBot="1" x14ac:dyDescent="0.3">
      <c r="A763" s="1773"/>
      <c r="B763" s="1774" t="s">
        <v>2094</v>
      </c>
      <c r="C763" s="1774" t="s">
        <v>2095</v>
      </c>
      <c r="D763" s="1774" t="s">
        <v>2</v>
      </c>
      <c r="E763" s="1774" t="s">
        <v>2096</v>
      </c>
      <c r="F763" s="1774" t="s">
        <v>5</v>
      </c>
      <c r="G763" s="1774" t="s">
        <v>2097</v>
      </c>
      <c r="H763" s="2014"/>
      <c r="I763" s="2014"/>
      <c r="J763" s="2014"/>
      <c r="P763" s="1772"/>
      <c r="Q763" s="1772"/>
      <c r="R763" s="1772"/>
      <c r="S763" s="1772"/>
      <c r="T763" s="1772"/>
      <c r="U763" s="1772"/>
      <c r="V763" s="1772"/>
      <c r="W763" s="1772"/>
      <c r="X763" s="1772"/>
      <c r="Y763" s="1772"/>
      <c r="Z763" s="1772"/>
      <c r="AA763" s="1772"/>
      <c r="AB763" s="1772"/>
      <c r="AC763" s="1772"/>
    </row>
    <row r="764" spans="1:29" s="1809" customFormat="1" ht="13.8" x14ac:dyDescent="0.25">
      <c r="A764" s="1775"/>
      <c r="B764" s="1775"/>
      <c r="C764" s="1776"/>
      <c r="D764" s="1777"/>
      <c r="E764" s="1777"/>
      <c r="F764" s="1777"/>
      <c r="G764" s="1777"/>
      <c r="H764" s="2014"/>
      <c r="I764" s="2014">
        <v>9.2899999999999991</v>
      </c>
      <c r="J764" s="2014">
        <v>0.15</v>
      </c>
      <c r="K764" s="1809">
        <f>I764*J764</f>
        <v>1.3934999999999997</v>
      </c>
      <c r="P764" s="1772"/>
      <c r="Q764" s="1772"/>
      <c r="R764" s="1772"/>
      <c r="S764" s="1772"/>
      <c r="T764" s="1772"/>
      <c r="U764" s="1772"/>
      <c r="V764" s="1772"/>
      <c r="W764" s="1772"/>
      <c r="X764" s="1772"/>
      <c r="Y764" s="1772"/>
      <c r="Z764" s="1772"/>
      <c r="AA764" s="1772"/>
      <c r="AB764" s="1772"/>
      <c r="AC764" s="1772"/>
    </row>
    <row r="765" spans="1:29" s="1809" customFormat="1" ht="13.8" x14ac:dyDescent="0.25">
      <c r="A765" s="1788"/>
      <c r="B765" s="1788" t="s">
        <v>2224</v>
      </c>
      <c r="C765" s="1789" t="s">
        <v>0</v>
      </c>
      <c r="D765" s="1789">
        <v>112</v>
      </c>
      <c r="E765" s="1789">
        <f>Material!D112</f>
        <v>231</v>
      </c>
      <c r="F765" s="1789">
        <f>D765*E765</f>
        <v>25872</v>
      </c>
      <c r="G765" s="1789"/>
      <c r="H765" s="2014"/>
      <c r="I765" s="2014">
        <f>0.39*0.19*0.15</f>
        <v>1.1115E-2</v>
      </c>
      <c r="J765" s="2014">
        <v>112</v>
      </c>
      <c r="K765" s="1809">
        <f>I765*J765</f>
        <v>1.24488</v>
      </c>
      <c r="P765" s="1772"/>
      <c r="Q765" s="1772"/>
      <c r="R765" s="1772"/>
      <c r="S765" s="1772"/>
      <c r="T765" s="1772"/>
      <c r="U765" s="1772"/>
      <c r="V765" s="1772"/>
      <c r="W765" s="1772"/>
      <c r="X765" s="1772"/>
      <c r="Y765" s="1772"/>
      <c r="Z765" s="1772"/>
      <c r="AA765" s="1772"/>
      <c r="AB765" s="1772"/>
      <c r="AC765" s="1772"/>
    </row>
    <row r="766" spans="1:29" s="1809" customFormat="1" ht="13.8" x14ac:dyDescent="0.25">
      <c r="A766" s="1788"/>
      <c r="B766" s="1817" t="s">
        <v>2216</v>
      </c>
      <c r="C766" s="1714"/>
      <c r="D766" s="1789"/>
      <c r="E766" s="1789"/>
      <c r="F766" s="1789">
        <f>F765*5%</f>
        <v>1293.6000000000001</v>
      </c>
      <c r="G766" s="1789"/>
      <c r="H766" s="2014"/>
      <c r="I766" s="2014"/>
      <c r="J766" s="2014"/>
      <c r="P766" s="1772"/>
      <c r="Q766" s="1772"/>
      <c r="R766" s="1772"/>
      <c r="S766" s="1772"/>
      <c r="T766" s="1772"/>
      <c r="U766" s="1772"/>
      <c r="V766" s="1772"/>
      <c r="W766" s="1772"/>
      <c r="X766" s="1772"/>
      <c r="Y766" s="1772"/>
      <c r="Z766" s="1772"/>
      <c r="AA766" s="1772"/>
      <c r="AB766" s="1772"/>
      <c r="AC766" s="1772"/>
    </row>
    <row r="767" spans="1:29" s="1809" customFormat="1" ht="13.8" x14ac:dyDescent="0.25">
      <c r="A767" s="1788"/>
      <c r="B767" s="1788" t="s">
        <v>2159</v>
      </c>
      <c r="C767" s="1789" t="s">
        <v>1945</v>
      </c>
      <c r="D767" s="1789">
        <v>0.95</v>
      </c>
      <c r="E767" s="1789">
        <f>F197</f>
        <v>2235.625</v>
      </c>
      <c r="F767" s="1789">
        <f t="shared" ref="F767:F768" si="88">D767*E767</f>
        <v>2123.84375</v>
      </c>
      <c r="G767" s="1789"/>
      <c r="H767" s="2014"/>
      <c r="I767" s="2014">
        <f>K764-K765</f>
        <v>0.14861999999999975</v>
      </c>
      <c r="J767" s="2014"/>
      <c r="P767" s="1772"/>
      <c r="Q767" s="1772"/>
      <c r="R767" s="1772"/>
      <c r="S767" s="1772"/>
      <c r="T767" s="1772"/>
      <c r="U767" s="1772"/>
      <c r="V767" s="1772"/>
      <c r="W767" s="1772"/>
      <c r="X767" s="1772"/>
      <c r="Y767" s="1772"/>
      <c r="Z767" s="1772"/>
      <c r="AA767" s="1772"/>
      <c r="AB767" s="1772"/>
      <c r="AC767" s="1772"/>
    </row>
    <row r="768" spans="1:29" s="1809" customFormat="1" ht="13.8" x14ac:dyDescent="0.25">
      <c r="A768" s="1788"/>
      <c r="B768" s="1788" t="s">
        <v>1947</v>
      </c>
      <c r="C768" s="1789" t="s">
        <v>131</v>
      </c>
      <c r="D768" s="1789">
        <v>0.06</v>
      </c>
      <c r="E768" s="1789">
        <f>Material!E13</f>
        <v>23500</v>
      </c>
      <c r="F768" s="1789">
        <f t="shared" si="88"/>
        <v>1410</v>
      </c>
      <c r="G768" s="1789"/>
      <c r="H768" s="2014"/>
      <c r="I768" s="2014">
        <f>I767*1.3333</f>
        <v>0.19815504599999967</v>
      </c>
      <c r="J768" s="2014">
        <f>I768/6</f>
        <v>3.3025840999999945E-2</v>
      </c>
      <c r="N768" s="1826"/>
      <c r="P768" s="1772"/>
      <c r="Q768" s="1772"/>
      <c r="R768" s="1772"/>
      <c r="S768" s="1772"/>
      <c r="T768" s="1772"/>
      <c r="U768" s="1772"/>
      <c r="V768" s="1772"/>
      <c r="W768" s="1772"/>
      <c r="X768" s="1772"/>
      <c r="Y768" s="1772"/>
      <c r="Z768" s="1772"/>
      <c r="AA768" s="1772"/>
      <c r="AB768" s="1772"/>
      <c r="AC768" s="1772"/>
    </row>
    <row r="769" spans="1:29" s="1809" customFormat="1" ht="13.8" x14ac:dyDescent="0.25">
      <c r="A769" s="1775"/>
      <c r="B769" s="1790"/>
      <c r="C769" s="1777"/>
      <c r="D769" s="1777"/>
      <c r="E769" s="1777"/>
      <c r="F769" s="1777"/>
      <c r="G769" s="1777"/>
      <c r="H769" s="2014"/>
      <c r="I769" s="2014"/>
      <c r="J769" s="2014"/>
      <c r="P769" s="1772"/>
      <c r="Q769" s="1772"/>
      <c r="R769" s="1772"/>
      <c r="S769" s="1772"/>
      <c r="T769" s="1772"/>
      <c r="U769" s="1772"/>
      <c r="V769" s="1772"/>
      <c r="W769" s="1772"/>
      <c r="X769" s="1772"/>
      <c r="Y769" s="1772"/>
      <c r="Z769" s="1772"/>
      <c r="AA769" s="1772"/>
      <c r="AB769" s="1772"/>
      <c r="AC769" s="1772"/>
    </row>
    <row r="770" spans="1:29" s="1809" customFormat="1" ht="13.8" x14ac:dyDescent="0.25">
      <c r="A770" s="1775"/>
      <c r="B770" s="1776"/>
      <c r="C770" s="1777"/>
      <c r="D770" s="1777"/>
      <c r="E770" s="1777"/>
      <c r="F770" s="1777">
        <f t="shared" ref="F770:F771" si="89">D770*E770</f>
        <v>0</v>
      </c>
      <c r="G770" s="1777"/>
      <c r="H770" s="2014"/>
      <c r="I770" s="2014">
        <f>J768*1440</f>
        <v>47.55721103999992</v>
      </c>
      <c r="J770" s="2014"/>
      <c r="K770" s="1809">
        <f>I770/50</f>
        <v>0.95114422079999839</v>
      </c>
      <c r="L770" s="1826"/>
      <c r="N770" s="1827"/>
      <c r="P770" s="1772"/>
      <c r="Q770" s="1772"/>
      <c r="R770" s="1772"/>
      <c r="S770" s="1772"/>
      <c r="T770" s="1772"/>
      <c r="U770" s="1772"/>
      <c r="V770" s="1772"/>
      <c r="W770" s="1772"/>
      <c r="X770" s="1772"/>
      <c r="Y770" s="1772"/>
      <c r="Z770" s="1772"/>
      <c r="AA770" s="1772"/>
      <c r="AB770" s="1772"/>
      <c r="AC770" s="1772"/>
    </row>
    <row r="771" spans="1:29" s="1809" customFormat="1" ht="13.8" x14ac:dyDescent="0.25">
      <c r="A771" s="1775"/>
      <c r="B771" s="1775"/>
      <c r="C771" s="1776"/>
      <c r="D771" s="1777"/>
      <c r="E771" s="1777"/>
      <c r="F771" s="1777">
        <f t="shared" si="89"/>
        <v>0</v>
      </c>
      <c r="G771" s="1777"/>
      <c r="H771" s="2014"/>
      <c r="I771" s="2014">
        <f>J768*5</f>
        <v>0.16512920499999972</v>
      </c>
      <c r="J771" s="2014"/>
      <c r="K771" s="1809">
        <f>I771/2.83</f>
        <v>5.8349542402826755E-2</v>
      </c>
      <c r="P771" s="1772"/>
      <c r="Q771" s="1772"/>
      <c r="R771" s="1772"/>
      <c r="S771" s="1772"/>
      <c r="T771" s="1772"/>
      <c r="U771" s="1772"/>
      <c r="V771" s="1772"/>
      <c r="W771" s="1772"/>
      <c r="X771" s="1772"/>
      <c r="Y771" s="1772"/>
      <c r="Z771" s="1772"/>
      <c r="AA771" s="1772"/>
      <c r="AB771" s="1772"/>
      <c r="AC771" s="1772"/>
    </row>
    <row r="772" spans="1:29" s="1809" customFormat="1" ht="13.8" x14ac:dyDescent="0.25">
      <c r="A772" s="1779"/>
      <c r="B772" s="2723" t="s">
        <v>2112</v>
      </c>
      <c r="C772" s="2723"/>
      <c r="D772" s="2723"/>
      <c r="E772" s="2723"/>
      <c r="F772" s="1780"/>
      <c r="G772" s="1781">
        <f>SUM(F765:F772)</f>
        <v>30699.443749999999</v>
      </c>
      <c r="H772" s="2014"/>
      <c r="I772" s="2014"/>
      <c r="J772" s="2014"/>
      <c r="P772" s="1772"/>
      <c r="Q772" s="1772"/>
      <c r="R772" s="1772"/>
      <c r="S772" s="1772"/>
      <c r="T772" s="1772"/>
      <c r="U772" s="1772"/>
      <c r="V772" s="1772"/>
      <c r="W772" s="1772"/>
      <c r="X772" s="1772"/>
      <c r="Y772" s="1772"/>
      <c r="Z772" s="1772"/>
      <c r="AA772" s="1772"/>
      <c r="AB772" s="1772"/>
      <c r="AC772" s="1772"/>
    </row>
    <row r="773" spans="1:29" s="1809" customFormat="1" ht="13.8" x14ac:dyDescent="0.25">
      <c r="A773" s="1775"/>
      <c r="B773" s="1778" t="s">
        <v>2098</v>
      </c>
      <c r="C773" s="1776"/>
      <c r="D773" s="1777"/>
      <c r="E773" s="1777"/>
      <c r="F773" s="1777">
        <f t="shared" ref="F773:F774" si="90">D773*E773</f>
        <v>0</v>
      </c>
      <c r="G773" s="1777"/>
      <c r="H773" s="2014"/>
      <c r="I773" s="2014"/>
      <c r="J773" s="2014"/>
      <c r="P773" s="1772"/>
      <c r="Q773" s="1772"/>
      <c r="R773" s="1772"/>
      <c r="S773" s="1772"/>
      <c r="T773" s="1772"/>
      <c r="U773" s="1772"/>
      <c r="V773" s="1772"/>
      <c r="W773" s="1772"/>
      <c r="X773" s="1772"/>
      <c r="Y773" s="1772"/>
      <c r="Z773" s="1772"/>
      <c r="AA773" s="1772"/>
      <c r="AB773" s="1772"/>
      <c r="AC773" s="1772"/>
    </row>
    <row r="774" spans="1:29" s="1809" customFormat="1" ht="13.8" x14ac:dyDescent="0.25">
      <c r="A774" s="1788"/>
      <c r="B774" s="1788" t="s">
        <v>2106</v>
      </c>
      <c r="C774" s="1789" t="s">
        <v>2126</v>
      </c>
      <c r="D774" s="1789">
        <v>100</v>
      </c>
      <c r="E774" s="1789">
        <v>85</v>
      </c>
      <c r="F774" s="1789">
        <f t="shared" si="90"/>
        <v>8500</v>
      </c>
      <c r="G774" s="1789"/>
      <c r="H774" s="2014"/>
      <c r="I774" s="2014"/>
      <c r="J774" s="2014"/>
      <c r="P774" s="1772"/>
      <c r="Q774" s="1772"/>
      <c r="R774" s="1772"/>
      <c r="S774" s="1772"/>
      <c r="T774" s="1772"/>
      <c r="U774" s="1772"/>
      <c r="V774" s="1772"/>
      <c r="W774" s="1772"/>
      <c r="X774" s="1772"/>
      <c r="Y774" s="1772"/>
      <c r="Z774" s="1772"/>
      <c r="AA774" s="1772"/>
      <c r="AB774" s="1772"/>
      <c r="AC774" s="1772"/>
    </row>
    <row r="775" spans="1:29" s="1809" customFormat="1" ht="13.8" x14ac:dyDescent="0.25">
      <c r="A775" s="1788"/>
      <c r="B775" s="1788"/>
      <c r="C775" s="1789"/>
      <c r="D775" s="1789"/>
      <c r="E775" s="1789"/>
      <c r="F775" s="1789"/>
      <c r="G775" s="1789"/>
      <c r="H775" s="2014"/>
      <c r="I775" s="2014"/>
      <c r="J775" s="2014"/>
      <c r="P775" s="1772"/>
      <c r="Q775" s="1772"/>
      <c r="R775" s="1772"/>
      <c r="S775" s="1772"/>
      <c r="T775" s="1772"/>
      <c r="U775" s="1772"/>
      <c r="V775" s="1772"/>
      <c r="W775" s="1772"/>
      <c r="X775" s="1772"/>
      <c r="Y775" s="1772"/>
      <c r="Z775" s="1772"/>
      <c r="AA775" s="1772"/>
      <c r="AB775" s="1772"/>
      <c r="AC775" s="1772"/>
    </row>
    <row r="776" spans="1:29" s="1809" customFormat="1" ht="13.8" x14ac:dyDescent="0.25">
      <c r="A776" s="1788"/>
      <c r="B776" s="1775" t="s">
        <v>2228</v>
      </c>
      <c r="C776" s="1789"/>
      <c r="D776" s="1789"/>
      <c r="E776" s="1789"/>
      <c r="F776" s="1789">
        <f>F774*3%</f>
        <v>255</v>
      </c>
      <c r="G776" s="1789"/>
      <c r="H776" s="2014"/>
      <c r="I776" s="2014"/>
      <c r="J776" s="2014"/>
      <c r="P776" s="1772"/>
      <c r="Q776" s="1772"/>
      <c r="R776" s="1772"/>
      <c r="S776" s="1772"/>
      <c r="T776" s="1772"/>
      <c r="U776" s="1772"/>
      <c r="V776" s="1772"/>
      <c r="W776" s="1772"/>
      <c r="X776" s="1772"/>
      <c r="Y776" s="1772"/>
      <c r="Z776" s="1772"/>
      <c r="AA776" s="1772"/>
      <c r="AB776" s="1772"/>
      <c r="AC776" s="1772"/>
    </row>
    <row r="777" spans="1:29" s="1809" customFormat="1" ht="13.8" x14ac:dyDescent="0.25">
      <c r="A777" s="1775"/>
      <c r="B777" s="1775" t="s">
        <v>2217</v>
      </c>
      <c r="C777" s="1777"/>
      <c r="D777" s="1777"/>
      <c r="E777" s="1777"/>
      <c r="F777" s="1777">
        <f>F774*5%</f>
        <v>425</v>
      </c>
      <c r="G777" s="1777"/>
      <c r="H777" s="2014"/>
      <c r="I777" s="2014"/>
      <c r="J777" s="2014"/>
      <c r="P777" s="1772"/>
      <c r="Q777" s="1772"/>
      <c r="R777" s="1772"/>
      <c r="S777" s="1772"/>
      <c r="T777" s="1772"/>
      <c r="U777" s="1772"/>
      <c r="V777" s="1772"/>
      <c r="W777" s="1772"/>
      <c r="X777" s="1772"/>
      <c r="Y777" s="1772"/>
      <c r="Z777" s="1772"/>
      <c r="AA777" s="1772"/>
      <c r="AB777" s="1772"/>
      <c r="AC777" s="1772"/>
    </row>
    <row r="778" spans="1:29" s="1809" customFormat="1" ht="13.8" x14ac:dyDescent="0.25">
      <c r="A778" s="1775"/>
      <c r="B778" s="1775"/>
      <c r="C778" s="1776"/>
      <c r="D778" s="1777"/>
      <c r="E778" s="1777"/>
      <c r="F778" s="1777"/>
      <c r="G778" s="1777"/>
      <c r="H778" s="2014"/>
      <c r="I778" s="2014"/>
      <c r="J778" s="2014"/>
      <c r="P778" s="1772"/>
      <c r="Q778" s="1772"/>
      <c r="R778" s="1772"/>
      <c r="S778" s="1772"/>
      <c r="T778" s="1772"/>
      <c r="U778" s="1772"/>
      <c r="V778" s="1772"/>
      <c r="W778" s="1772"/>
      <c r="X778" s="1772"/>
      <c r="Y778" s="1772"/>
      <c r="Z778" s="1772"/>
      <c r="AA778" s="1772"/>
      <c r="AB778" s="1772"/>
      <c r="AC778" s="1772"/>
    </row>
    <row r="779" spans="1:29" s="1809" customFormat="1" ht="13.8" x14ac:dyDescent="0.25">
      <c r="A779" s="1779"/>
      <c r="B779" s="2723" t="s">
        <v>2100</v>
      </c>
      <c r="C779" s="2723"/>
      <c r="D779" s="2723"/>
      <c r="E779" s="2723"/>
      <c r="F779" s="1780">
        <f t="shared" ref="F779" si="91">D779*E779</f>
        <v>0</v>
      </c>
      <c r="G779" s="1781">
        <f>SUM(F774:F779)</f>
        <v>9180</v>
      </c>
      <c r="H779" s="2014"/>
      <c r="I779" s="2014"/>
      <c r="J779" s="2014"/>
      <c r="P779" s="1772"/>
      <c r="Q779" s="1772"/>
      <c r="R779" s="1772"/>
      <c r="S779" s="1772"/>
      <c r="T779" s="1772"/>
      <c r="U779" s="1772"/>
      <c r="V779" s="1772"/>
      <c r="W779" s="1772"/>
      <c r="X779" s="1772"/>
      <c r="Y779" s="1772"/>
      <c r="Z779" s="1772"/>
      <c r="AA779" s="1772"/>
      <c r="AB779" s="1772"/>
      <c r="AC779" s="1772"/>
    </row>
    <row r="780" spans="1:29" s="1809" customFormat="1" ht="13.8" x14ac:dyDescent="0.25">
      <c r="A780" s="1775"/>
      <c r="B780" s="1782"/>
      <c r="C780" s="1782"/>
      <c r="D780" s="1782"/>
      <c r="E780" s="1782"/>
      <c r="F780" s="1777"/>
      <c r="G780" s="1782"/>
      <c r="H780" s="2014"/>
      <c r="I780" s="2014"/>
      <c r="J780" s="2014"/>
      <c r="P780" s="1772"/>
      <c r="Q780" s="1772"/>
      <c r="R780" s="1772"/>
      <c r="S780" s="1772"/>
      <c r="T780" s="1772"/>
      <c r="U780" s="1772"/>
      <c r="V780" s="1772"/>
      <c r="W780" s="1772"/>
      <c r="X780" s="1772"/>
      <c r="Y780" s="1772"/>
      <c r="Z780" s="1772"/>
      <c r="AA780" s="1772"/>
      <c r="AB780" s="1772"/>
      <c r="AC780" s="1772"/>
    </row>
    <row r="781" spans="1:29" s="1809" customFormat="1" ht="13.8" x14ac:dyDescent="0.25">
      <c r="A781" s="1775"/>
      <c r="B781" s="1782"/>
      <c r="C781" s="1782"/>
      <c r="D781" s="1782"/>
      <c r="E781" s="1782"/>
      <c r="F781" s="1777"/>
      <c r="G781" s="1782"/>
      <c r="H781" s="2014"/>
      <c r="I781" s="2014"/>
      <c r="J781" s="2014"/>
      <c r="P781" s="1772"/>
      <c r="Q781" s="1772"/>
      <c r="R781" s="1772"/>
      <c r="S781" s="1772"/>
      <c r="T781" s="1772"/>
      <c r="U781" s="1772"/>
      <c r="V781" s="1772"/>
      <c r="W781" s="1772"/>
      <c r="X781" s="1772"/>
      <c r="Y781" s="1772"/>
      <c r="Z781" s="1772"/>
      <c r="AA781" s="1772"/>
      <c r="AB781" s="1772"/>
      <c r="AC781" s="1772"/>
    </row>
    <row r="782" spans="1:29" s="1809" customFormat="1" ht="13.8" x14ac:dyDescent="0.25">
      <c r="A782" s="2716" t="s">
        <v>2127</v>
      </c>
      <c r="B782" s="2716"/>
      <c r="C782" s="2716"/>
      <c r="D782" s="2716"/>
      <c r="E782" s="2716"/>
      <c r="F782" s="2716"/>
      <c r="G782" s="1783">
        <f>G772+G779</f>
        <v>39879.443749999999</v>
      </c>
      <c r="H782" s="2014"/>
      <c r="I782" s="2014"/>
      <c r="J782" s="2014"/>
      <c r="P782" s="1772"/>
      <c r="Q782" s="1772"/>
      <c r="R782" s="1772"/>
      <c r="S782" s="1772"/>
      <c r="T782" s="1772"/>
      <c r="U782" s="1772"/>
      <c r="V782" s="1772"/>
      <c r="W782" s="1772"/>
      <c r="X782" s="1772"/>
      <c r="Y782" s="1772"/>
      <c r="Z782" s="1772"/>
      <c r="AA782" s="1772"/>
      <c r="AB782" s="1772"/>
      <c r="AC782" s="1772"/>
    </row>
    <row r="783" spans="1:29" s="1809" customFormat="1" ht="13.8" x14ac:dyDescent="0.25">
      <c r="A783" s="2716" t="s">
        <v>2128</v>
      </c>
      <c r="B783" s="2716"/>
      <c r="C783" s="2716"/>
      <c r="D783" s="2716"/>
      <c r="E783" s="2716"/>
      <c r="F783" s="2716"/>
      <c r="G783" s="1783">
        <f>G782/9.29</f>
        <v>4292.7280678148545</v>
      </c>
      <c r="H783" s="2014"/>
      <c r="I783" s="2014"/>
      <c r="J783" s="2014"/>
      <c r="P783" s="1772"/>
      <c r="Q783" s="1772"/>
      <c r="R783" s="1772"/>
      <c r="S783" s="1772"/>
      <c r="T783" s="1772"/>
      <c r="U783" s="1772"/>
      <c r="V783" s="1772"/>
      <c r="W783" s="1772"/>
      <c r="X783" s="1772"/>
      <c r="Y783" s="1772"/>
      <c r="Z783" s="1772"/>
      <c r="AA783" s="1772"/>
      <c r="AB783" s="1772"/>
      <c r="AC783" s="1772"/>
    </row>
    <row r="784" spans="1:29" s="1809" customFormat="1" ht="13.8" x14ac:dyDescent="0.25">
      <c r="A784" s="2716" t="s">
        <v>2129</v>
      </c>
      <c r="B784" s="2716"/>
      <c r="C784" s="2716"/>
      <c r="D784" s="2716"/>
      <c r="E784" s="2716"/>
      <c r="F784" s="2716"/>
      <c r="G784" s="1828">
        <f>G783/10.76</f>
        <v>398.9524226593731</v>
      </c>
      <c r="H784" s="2014"/>
      <c r="I784" s="2014"/>
      <c r="J784" s="2014"/>
      <c r="P784" s="1772"/>
      <c r="Q784" s="1772"/>
      <c r="R784" s="1772"/>
      <c r="S784" s="1772"/>
      <c r="T784" s="1772"/>
      <c r="U784" s="1772"/>
      <c r="V784" s="1772"/>
      <c r="W784" s="1772"/>
      <c r="X784" s="1772"/>
      <c r="Y784" s="1772"/>
      <c r="Z784" s="1772"/>
      <c r="AA784" s="1772"/>
      <c r="AB784" s="1772"/>
      <c r="AC784" s="1772"/>
    </row>
    <row r="800" spans="1:2" x14ac:dyDescent="0.25">
      <c r="A800" s="2734" t="s">
        <v>2229</v>
      </c>
      <c r="B800" s="2734"/>
    </row>
    <row r="803" spans="1:29" s="1809" customFormat="1" ht="13.8" thickBot="1" x14ac:dyDescent="0.3">
      <c r="A803" s="1772"/>
      <c r="B803" s="1772"/>
      <c r="C803" s="1772"/>
      <c r="D803" s="1772"/>
      <c r="E803" s="1772"/>
      <c r="F803" s="1772"/>
      <c r="G803" s="1772"/>
      <c r="H803" s="2014"/>
      <c r="I803" s="2014"/>
      <c r="J803" s="2014"/>
      <c r="P803" s="1772"/>
      <c r="Q803" s="1772"/>
      <c r="R803" s="1772"/>
      <c r="S803" s="1772"/>
      <c r="T803" s="1772"/>
      <c r="U803" s="1772"/>
      <c r="V803" s="1772"/>
      <c r="W803" s="1772"/>
      <c r="X803" s="1772"/>
      <c r="Y803" s="1772"/>
      <c r="Z803" s="1772"/>
      <c r="AA803" s="1772"/>
      <c r="AB803" s="1772"/>
      <c r="AC803" s="1772"/>
    </row>
    <row r="804" spans="1:29" s="1809" customFormat="1" ht="13.8" x14ac:dyDescent="0.25">
      <c r="A804" s="2717" t="s">
        <v>2230</v>
      </c>
      <c r="B804" s="2718"/>
      <c r="C804" s="2718"/>
      <c r="D804" s="2718"/>
      <c r="E804" s="2718"/>
      <c r="F804" s="2718"/>
      <c r="G804" s="2719"/>
      <c r="H804" s="2014"/>
      <c r="I804" s="2014"/>
      <c r="J804" s="2014"/>
      <c r="P804" s="1772"/>
      <c r="Q804" s="1772"/>
      <c r="R804" s="1772"/>
      <c r="S804" s="1772"/>
      <c r="T804" s="1772"/>
      <c r="U804" s="1772"/>
      <c r="V804" s="1772"/>
      <c r="W804" s="1772"/>
      <c r="X804" s="1772"/>
      <c r="Y804" s="1772"/>
      <c r="Z804" s="1772"/>
      <c r="AA804" s="1772"/>
      <c r="AB804" s="1772"/>
      <c r="AC804" s="1772"/>
    </row>
    <row r="805" spans="1:29" s="1809" customFormat="1" ht="14.4" thickBot="1" x14ac:dyDescent="0.3">
      <c r="A805" s="2720" t="s">
        <v>2093</v>
      </c>
      <c r="B805" s="2721"/>
      <c r="C805" s="2721"/>
      <c r="D805" s="2721"/>
      <c r="E805" s="2721"/>
      <c r="F805" s="2721"/>
      <c r="G805" s="2722"/>
      <c r="H805" s="2014"/>
      <c r="I805" s="2014"/>
      <c r="J805" s="2014"/>
      <c r="P805" s="1772"/>
      <c r="Q805" s="1772"/>
      <c r="R805" s="1772"/>
      <c r="S805" s="1772"/>
      <c r="T805" s="1772"/>
      <c r="U805" s="1772"/>
      <c r="V805" s="1772"/>
      <c r="W805" s="1772"/>
      <c r="X805" s="1772"/>
      <c r="Y805" s="1772"/>
      <c r="Z805" s="1772"/>
      <c r="AA805" s="1772"/>
      <c r="AB805" s="1772"/>
      <c r="AC805" s="1772"/>
    </row>
    <row r="806" spans="1:29" s="1809" customFormat="1" ht="14.4" thickBot="1" x14ac:dyDescent="0.3">
      <c r="A806" s="1773"/>
      <c r="B806" s="1774" t="s">
        <v>2094</v>
      </c>
      <c r="C806" s="1774" t="s">
        <v>2095</v>
      </c>
      <c r="D806" s="1774" t="s">
        <v>2</v>
      </c>
      <c r="E806" s="1774" t="s">
        <v>2096</v>
      </c>
      <c r="F806" s="1774" t="s">
        <v>5</v>
      </c>
      <c r="G806" s="1774" t="s">
        <v>2097</v>
      </c>
      <c r="H806" s="2014">
        <f>0.1*1.3333</f>
        <v>0.13333</v>
      </c>
      <c r="I806" s="2014">
        <f>H806/6</f>
        <v>2.2221666666666667E-2</v>
      </c>
      <c r="J806" s="2014">
        <f>I806*1440</f>
        <v>31.999200000000002</v>
      </c>
      <c r="K806" s="1809">
        <f>32/50</f>
        <v>0.64</v>
      </c>
      <c r="L806" s="1809">
        <f>I806*5</f>
        <v>0.11110833333333334</v>
      </c>
      <c r="M806" s="1809">
        <f>L806/2.83</f>
        <v>3.9260895170789165E-2</v>
      </c>
      <c r="P806" s="1772"/>
      <c r="Q806" s="1772"/>
      <c r="R806" s="1772"/>
      <c r="S806" s="1772"/>
      <c r="T806" s="1772"/>
      <c r="U806" s="1772"/>
      <c r="V806" s="1772"/>
      <c r="W806" s="1772"/>
      <c r="X806" s="1772"/>
      <c r="Y806" s="1772"/>
      <c r="Z806" s="1772"/>
      <c r="AA806" s="1772"/>
      <c r="AB806" s="1772"/>
      <c r="AC806" s="1772"/>
    </row>
    <row r="807" spans="1:29" s="1809" customFormat="1" ht="13.8" x14ac:dyDescent="0.25">
      <c r="A807" s="1775"/>
      <c r="B807" s="1775"/>
      <c r="C807" s="1776"/>
      <c r="D807" s="1777"/>
      <c r="E807" s="1777"/>
      <c r="F807" s="1777"/>
      <c r="G807" s="1777"/>
      <c r="H807" s="2014"/>
      <c r="I807" s="2014">
        <f>0.405*0.205</f>
        <v>8.3025000000000002E-2</v>
      </c>
      <c r="J807" s="2014">
        <f>I807*112</f>
        <v>9.2988</v>
      </c>
      <c r="P807" s="1772"/>
      <c r="Q807" s="1772"/>
      <c r="R807" s="1772"/>
      <c r="S807" s="1772"/>
      <c r="T807" s="1772"/>
      <c r="U807" s="1772"/>
      <c r="V807" s="1772"/>
      <c r="W807" s="1772"/>
      <c r="X807" s="1772"/>
      <c r="Y807" s="1772"/>
      <c r="Z807" s="1772"/>
      <c r="AA807" s="1772"/>
      <c r="AB807" s="1772"/>
      <c r="AC807" s="1772"/>
    </row>
    <row r="808" spans="1:29" s="1809" customFormat="1" ht="13.8" x14ac:dyDescent="0.25">
      <c r="A808" s="1788"/>
      <c r="B808" s="1788" t="s">
        <v>2224</v>
      </c>
      <c r="C808" s="1789" t="s">
        <v>0</v>
      </c>
      <c r="D808" s="1789">
        <v>112</v>
      </c>
      <c r="E808" s="1789">
        <f>Material!D115</f>
        <v>109</v>
      </c>
      <c r="F808" s="1789">
        <f>D808*E808</f>
        <v>12208</v>
      </c>
      <c r="G808" s="1789"/>
      <c r="H808" s="2014"/>
      <c r="I808" s="2014"/>
      <c r="J808" s="2014"/>
      <c r="L808" s="1809">
        <f>9.29*0.1</f>
        <v>0.92899999999999994</v>
      </c>
      <c r="P808" s="1772"/>
      <c r="Q808" s="1772"/>
      <c r="R808" s="1772"/>
      <c r="S808" s="1772"/>
      <c r="T808" s="1772"/>
      <c r="U808" s="1772"/>
      <c r="V808" s="1772"/>
      <c r="W808" s="1772"/>
      <c r="X808" s="1772"/>
      <c r="Y808" s="1772"/>
      <c r="Z808" s="1772"/>
      <c r="AA808" s="1772"/>
      <c r="AB808" s="1772"/>
      <c r="AC808" s="1772"/>
    </row>
    <row r="809" spans="1:29" s="1809" customFormat="1" ht="13.8" x14ac:dyDescent="0.25">
      <c r="A809" s="1788"/>
      <c r="B809" s="1817" t="s">
        <v>2216</v>
      </c>
      <c r="C809" s="1714"/>
      <c r="D809" s="1789"/>
      <c r="E809" s="1789"/>
      <c r="F809" s="1789">
        <f>F808*5%</f>
        <v>610.4</v>
      </c>
      <c r="G809" s="1789"/>
      <c r="H809" s="2014"/>
      <c r="I809" s="2014">
        <f>0.39*0.19*0.1</f>
        <v>7.4099999999999999E-3</v>
      </c>
      <c r="J809" s="2014"/>
      <c r="L809" s="1809">
        <f>L808-I810</f>
        <v>9.9079999999999946E-2</v>
      </c>
      <c r="P809" s="1772"/>
      <c r="Q809" s="1772"/>
      <c r="R809" s="1772"/>
      <c r="S809" s="1772"/>
      <c r="T809" s="1772"/>
      <c r="U809" s="1772"/>
      <c r="V809" s="1772"/>
      <c r="W809" s="1772"/>
      <c r="X809" s="1772"/>
      <c r="Y809" s="1772"/>
      <c r="Z809" s="1772"/>
      <c r="AA809" s="1772"/>
      <c r="AB809" s="1772"/>
      <c r="AC809" s="1772"/>
    </row>
    <row r="810" spans="1:29" s="1809" customFormat="1" ht="13.8" x14ac:dyDescent="0.25">
      <c r="A810" s="1788"/>
      <c r="B810" s="1788" t="s">
        <v>2159</v>
      </c>
      <c r="C810" s="1789" t="s">
        <v>1945</v>
      </c>
      <c r="D810" s="1789">
        <v>0.64</v>
      </c>
      <c r="E810" s="1789">
        <f>F197</f>
        <v>2235.625</v>
      </c>
      <c r="F810" s="1789">
        <f>D810*E810</f>
        <v>1430.8</v>
      </c>
      <c r="G810" s="1789"/>
      <c r="H810" s="2014"/>
      <c r="I810" s="2014">
        <f>I809*112</f>
        <v>0.82991999999999999</v>
      </c>
      <c r="J810" s="2014"/>
      <c r="P810" s="1772"/>
      <c r="Q810" s="1772"/>
      <c r="R810" s="1772"/>
      <c r="S810" s="1772"/>
      <c r="T810" s="1772"/>
      <c r="U810" s="1772"/>
      <c r="V810" s="1772"/>
      <c r="W810" s="1772"/>
      <c r="X810" s="1772"/>
      <c r="Y810" s="1772"/>
      <c r="Z810" s="1772"/>
      <c r="AA810" s="1772"/>
      <c r="AB810" s="1772"/>
      <c r="AC810" s="1772"/>
    </row>
    <row r="811" spans="1:29" s="1809" customFormat="1" ht="13.8" x14ac:dyDescent="0.25">
      <c r="A811" s="1788"/>
      <c r="B811" s="1788" t="s">
        <v>1947</v>
      </c>
      <c r="C811" s="1789" t="s">
        <v>131</v>
      </c>
      <c r="D811" s="1789">
        <v>0.14000000000000001</v>
      </c>
      <c r="E811" s="1789">
        <f>Material!E13</f>
        <v>23500</v>
      </c>
      <c r="F811" s="1789">
        <f>D811*E811</f>
        <v>3290.0000000000005</v>
      </c>
      <c r="G811" s="1789"/>
      <c r="H811" s="2014"/>
      <c r="I811" s="2014"/>
      <c r="J811" s="2014"/>
      <c r="L811" s="1809">
        <f>0.1</f>
        <v>0.1</v>
      </c>
      <c r="M811" s="1809">
        <f>L811*1.3333</f>
        <v>0.13333</v>
      </c>
      <c r="N811" s="1826">
        <f>M811/6</f>
        <v>2.2221666666666667E-2</v>
      </c>
      <c r="P811" s="1772"/>
      <c r="Q811" s="1772"/>
      <c r="R811" s="1772"/>
      <c r="S811" s="1772"/>
      <c r="T811" s="1772"/>
      <c r="U811" s="1772"/>
      <c r="V811" s="1772"/>
      <c r="W811" s="1772"/>
      <c r="X811" s="1772"/>
      <c r="Y811" s="1772"/>
      <c r="Z811" s="1772"/>
      <c r="AA811" s="1772"/>
      <c r="AB811" s="1772"/>
      <c r="AC811" s="1772"/>
    </row>
    <row r="812" spans="1:29" s="1809" customFormat="1" ht="13.8" x14ac:dyDescent="0.25">
      <c r="A812" s="1775"/>
      <c r="B812" s="1790"/>
      <c r="C812" s="1777"/>
      <c r="D812" s="1777"/>
      <c r="E812" s="1777"/>
      <c r="F812" s="1777"/>
      <c r="G812" s="1777"/>
      <c r="H812" s="2014"/>
      <c r="I812" s="2014"/>
      <c r="J812" s="2014"/>
      <c r="P812" s="1772"/>
      <c r="Q812" s="1772"/>
      <c r="R812" s="1772"/>
      <c r="S812" s="1772"/>
      <c r="T812" s="1772"/>
      <c r="U812" s="1772"/>
      <c r="V812" s="1772"/>
      <c r="W812" s="1772"/>
      <c r="X812" s="1772"/>
      <c r="Y812" s="1772"/>
      <c r="Z812" s="1772"/>
      <c r="AA812" s="1772"/>
      <c r="AB812" s="1772"/>
      <c r="AC812" s="1772"/>
    </row>
    <row r="813" spans="1:29" s="1809" customFormat="1" ht="13.8" x14ac:dyDescent="0.25">
      <c r="A813" s="1775"/>
      <c r="B813" s="1776"/>
      <c r="C813" s="1777"/>
      <c r="D813" s="1777"/>
      <c r="E813" s="1777"/>
      <c r="F813" s="1777">
        <f t="shared" ref="F813:F814" si="92">D813*E813</f>
        <v>0</v>
      </c>
      <c r="G813" s="1777"/>
      <c r="H813" s="2014"/>
      <c r="I813" s="2014"/>
      <c r="J813" s="2014"/>
      <c r="L813" s="1826">
        <v>0.02</v>
      </c>
      <c r="M813" s="1809">
        <v>1440</v>
      </c>
      <c r="N813" s="1827">
        <f>L813*M813</f>
        <v>28.8</v>
      </c>
      <c r="P813" s="1772"/>
      <c r="Q813" s="1772"/>
      <c r="R813" s="1772"/>
      <c r="S813" s="1772"/>
      <c r="T813" s="1772"/>
      <c r="U813" s="1772"/>
      <c r="V813" s="1772"/>
      <c r="W813" s="1772"/>
      <c r="X813" s="1772"/>
      <c r="Y813" s="1772"/>
      <c r="Z813" s="1772"/>
      <c r="AA813" s="1772"/>
      <c r="AB813" s="1772"/>
      <c r="AC813" s="1772"/>
    </row>
    <row r="814" spans="1:29" s="1809" customFormat="1" ht="13.8" x14ac:dyDescent="0.25">
      <c r="A814" s="1775"/>
      <c r="B814" s="1775"/>
      <c r="C814" s="1776"/>
      <c r="D814" s="1777"/>
      <c r="E814" s="1777"/>
      <c r="F814" s="1777">
        <f t="shared" si="92"/>
        <v>0</v>
      </c>
      <c r="G814" s="1777"/>
      <c r="H814" s="2014"/>
      <c r="I814" s="2014"/>
      <c r="J814" s="2014"/>
      <c r="P814" s="1772"/>
      <c r="Q814" s="1772"/>
      <c r="R814" s="1772"/>
      <c r="S814" s="1772"/>
      <c r="T814" s="1772"/>
      <c r="U814" s="1772"/>
      <c r="V814" s="1772"/>
      <c r="W814" s="1772"/>
      <c r="X814" s="1772"/>
      <c r="Y814" s="1772"/>
      <c r="Z814" s="1772"/>
      <c r="AA814" s="1772"/>
      <c r="AB814" s="1772"/>
      <c r="AC814" s="1772"/>
    </row>
    <row r="815" spans="1:29" s="1809" customFormat="1" ht="13.8" x14ac:dyDescent="0.25">
      <c r="A815" s="1779"/>
      <c r="B815" s="2723" t="s">
        <v>2112</v>
      </c>
      <c r="C815" s="2723"/>
      <c r="D815" s="2723"/>
      <c r="E815" s="2723"/>
      <c r="F815" s="1780"/>
      <c r="G815" s="1781">
        <f>SUM(F808:F815)</f>
        <v>17539.2</v>
      </c>
      <c r="H815" s="2014"/>
      <c r="I815" s="2014"/>
      <c r="J815" s="2014"/>
      <c r="L815" s="1809">
        <f>0.02</f>
        <v>0.02</v>
      </c>
      <c r="M815" s="1809">
        <v>5</v>
      </c>
      <c r="N815" s="1809">
        <f>L815*M815</f>
        <v>0.1</v>
      </c>
      <c r="P815" s="1772"/>
      <c r="Q815" s="1772"/>
      <c r="R815" s="1772"/>
      <c r="S815" s="1772"/>
      <c r="T815" s="1772"/>
      <c r="U815" s="1772"/>
      <c r="V815" s="1772"/>
      <c r="W815" s="1772"/>
      <c r="X815" s="1772"/>
      <c r="Y815" s="1772"/>
      <c r="Z815" s="1772"/>
      <c r="AA815" s="1772"/>
      <c r="AB815" s="1772"/>
      <c r="AC815" s="1772"/>
    </row>
    <row r="816" spans="1:29" s="1809" customFormat="1" ht="13.8" x14ac:dyDescent="0.25">
      <c r="A816" s="1775"/>
      <c r="B816" s="1778" t="s">
        <v>2098</v>
      </c>
      <c r="C816" s="1776"/>
      <c r="D816" s="1777"/>
      <c r="E816" s="1777"/>
      <c r="F816" s="1777">
        <f t="shared" ref="F816:F817" si="93">D816*E816</f>
        <v>0</v>
      </c>
      <c r="G816" s="1777"/>
      <c r="H816" s="2014"/>
      <c r="I816" s="2014"/>
      <c r="J816" s="2014"/>
      <c r="P816" s="1772"/>
      <c r="Q816" s="1772"/>
      <c r="R816" s="1772"/>
      <c r="S816" s="1772"/>
      <c r="T816" s="1772"/>
      <c r="U816" s="1772"/>
      <c r="V816" s="1772"/>
      <c r="W816" s="1772"/>
      <c r="X816" s="1772"/>
      <c r="Y816" s="1772"/>
      <c r="Z816" s="1772"/>
      <c r="AA816" s="1772"/>
      <c r="AB816" s="1772"/>
      <c r="AC816" s="1772"/>
    </row>
    <row r="817" spans="1:9" ht="13.8" x14ac:dyDescent="0.25">
      <c r="A817" s="1788"/>
      <c r="B817" s="1788" t="s">
        <v>2106</v>
      </c>
      <c r="C817" s="1789" t="s">
        <v>2126</v>
      </c>
      <c r="D817" s="1789">
        <v>100</v>
      </c>
      <c r="E817" s="1789">
        <v>60</v>
      </c>
      <c r="F817" s="1789">
        <f t="shared" si="93"/>
        <v>6000</v>
      </c>
      <c r="G817" s="1789"/>
      <c r="I817" s="2014">
        <f>0.1*1.3333</f>
        <v>0.13333</v>
      </c>
    </row>
    <row r="818" spans="1:9" ht="13.8" x14ac:dyDescent="0.25">
      <c r="A818" s="1788"/>
      <c r="B818" s="1788"/>
      <c r="C818" s="1789"/>
      <c r="D818" s="1789"/>
      <c r="E818" s="1789"/>
      <c r="F818" s="1789"/>
      <c r="G818" s="1789"/>
    </row>
    <row r="819" spans="1:9" ht="13.8" x14ac:dyDescent="0.25">
      <c r="A819" s="1788"/>
      <c r="B819" s="1775" t="s">
        <v>2228</v>
      </c>
      <c r="C819" s="1789"/>
      <c r="D819" s="1789"/>
      <c r="E819" s="1789"/>
      <c r="F819" s="1789">
        <f>F817*3%</f>
        <v>180</v>
      </c>
      <c r="G819" s="1789"/>
      <c r="I819" s="2014">
        <f>I817/6</f>
        <v>2.2221666666666667E-2</v>
      </c>
    </row>
    <row r="820" spans="1:9" ht="13.8" x14ac:dyDescent="0.25">
      <c r="A820" s="1775"/>
      <c r="B820" s="1775" t="s">
        <v>2217</v>
      </c>
      <c r="C820" s="1777"/>
      <c r="D820" s="1777"/>
      <c r="E820" s="1777"/>
      <c r="F820" s="1777">
        <f>F817*5%</f>
        <v>300</v>
      </c>
      <c r="G820" s="1777"/>
    </row>
    <row r="821" spans="1:9" ht="13.8" x14ac:dyDescent="0.25">
      <c r="A821" s="1775"/>
      <c r="B821" s="1775"/>
      <c r="C821" s="1776"/>
      <c r="D821" s="1777"/>
      <c r="E821" s="1777"/>
      <c r="F821" s="1777"/>
      <c r="G821" s="1777"/>
    </row>
    <row r="822" spans="1:9" ht="13.8" x14ac:dyDescent="0.25">
      <c r="A822" s="1779"/>
      <c r="B822" s="2723" t="s">
        <v>2100</v>
      </c>
      <c r="C822" s="2723"/>
      <c r="D822" s="2723"/>
      <c r="E822" s="2723"/>
      <c r="F822" s="1780">
        <f t="shared" ref="F822" si="94">D822*E822</f>
        <v>0</v>
      </c>
      <c r="G822" s="1781">
        <f>SUM(F817:F822)</f>
        <v>6480</v>
      </c>
    </row>
    <row r="823" spans="1:9" ht="13.8" x14ac:dyDescent="0.25">
      <c r="A823" s="1775"/>
      <c r="B823" s="1782"/>
      <c r="C823" s="1782"/>
      <c r="D823" s="1782"/>
      <c r="E823" s="1782"/>
      <c r="F823" s="1777"/>
      <c r="G823" s="1782"/>
    </row>
    <row r="824" spans="1:9" ht="13.8" x14ac:dyDescent="0.25">
      <c r="A824" s="1775"/>
      <c r="B824" s="1782"/>
      <c r="C824" s="1782"/>
      <c r="D824" s="1782"/>
      <c r="E824" s="1782"/>
      <c r="F824" s="1777"/>
      <c r="G824" s="1782"/>
    </row>
    <row r="825" spans="1:9" ht="13.8" x14ac:dyDescent="0.25">
      <c r="A825" s="2716" t="s">
        <v>2127</v>
      </c>
      <c r="B825" s="2716"/>
      <c r="C825" s="2716"/>
      <c r="D825" s="2716"/>
      <c r="E825" s="2716"/>
      <c r="F825" s="2716"/>
      <c r="G825" s="1783">
        <f>G815+G822</f>
        <v>24019.200000000001</v>
      </c>
    </row>
    <row r="826" spans="1:9" ht="13.8" x14ac:dyDescent="0.25">
      <c r="A826" s="2716" t="s">
        <v>2128</v>
      </c>
      <c r="B826" s="2716"/>
      <c r="C826" s="2716"/>
      <c r="D826" s="2716"/>
      <c r="E826" s="2716"/>
      <c r="F826" s="2716"/>
      <c r="G826" s="1783">
        <f>G825/9.29</f>
        <v>2585.4897739504845</v>
      </c>
    </row>
    <row r="827" spans="1:9" ht="13.8" x14ac:dyDescent="0.25">
      <c r="A827" s="2716" t="s">
        <v>2129</v>
      </c>
      <c r="B827" s="2716"/>
      <c r="C827" s="2716"/>
      <c r="D827" s="2716"/>
      <c r="E827" s="2716"/>
      <c r="F827" s="2716"/>
      <c r="G827" s="1825">
        <f>G826/10.76</f>
        <v>240.28715371287032</v>
      </c>
    </row>
    <row r="832" spans="1:9" x14ac:dyDescent="0.25">
      <c r="A832" s="2734" t="s">
        <v>2229</v>
      </c>
      <c r="B832" s="2734"/>
    </row>
    <row r="835" spans="1:29" s="1809" customFormat="1" ht="13.8" thickBot="1" x14ac:dyDescent="0.3">
      <c r="A835" s="1772"/>
      <c r="B835" s="1772"/>
      <c r="C835" s="1772"/>
      <c r="D835" s="1772"/>
      <c r="E835" s="1772"/>
      <c r="F835" s="1772"/>
      <c r="G835" s="1772"/>
      <c r="H835" s="2014"/>
      <c r="I835" s="2014"/>
      <c r="J835" s="2014"/>
      <c r="P835" s="1772"/>
      <c r="Q835" s="1772"/>
      <c r="R835" s="1772"/>
      <c r="S835" s="1772"/>
      <c r="T835" s="1772"/>
      <c r="U835" s="1772"/>
      <c r="V835" s="1772"/>
      <c r="W835" s="1772"/>
      <c r="X835" s="1772"/>
      <c r="Y835" s="1772"/>
      <c r="Z835" s="1772"/>
      <c r="AA835" s="1772"/>
      <c r="AB835" s="1772"/>
      <c r="AC835" s="1772"/>
    </row>
    <row r="836" spans="1:29" s="1809" customFormat="1" ht="13.8" x14ac:dyDescent="0.25">
      <c r="A836" s="2717" t="s">
        <v>2230</v>
      </c>
      <c r="B836" s="2718"/>
      <c r="C836" s="2718"/>
      <c r="D836" s="2718"/>
      <c r="E836" s="2718"/>
      <c r="F836" s="2718"/>
      <c r="G836" s="2719"/>
      <c r="H836" s="2014"/>
      <c r="I836" s="2014"/>
      <c r="J836" s="2014"/>
      <c r="P836" s="1772"/>
      <c r="Q836" s="1772"/>
      <c r="R836" s="1772"/>
      <c r="S836" s="1772"/>
      <c r="T836" s="1772"/>
      <c r="U836" s="1772"/>
      <c r="V836" s="1772"/>
      <c r="W836" s="1772"/>
      <c r="X836" s="1772"/>
      <c r="Y836" s="1772"/>
      <c r="Z836" s="1772"/>
      <c r="AA836" s="1772"/>
      <c r="AB836" s="1772"/>
      <c r="AC836" s="1772"/>
    </row>
    <row r="837" spans="1:29" s="1809" customFormat="1" ht="14.4" thickBot="1" x14ac:dyDescent="0.3">
      <c r="A837" s="2720" t="s">
        <v>2093</v>
      </c>
      <c r="B837" s="2721"/>
      <c r="C837" s="2721"/>
      <c r="D837" s="2721"/>
      <c r="E837" s="2721"/>
      <c r="F837" s="2721"/>
      <c r="G837" s="2722"/>
      <c r="H837" s="2014"/>
      <c r="I837" s="2014"/>
      <c r="J837" s="2014"/>
      <c r="P837" s="1772"/>
      <c r="Q837" s="1772"/>
      <c r="R837" s="1772"/>
      <c r="S837" s="1772"/>
      <c r="T837" s="1772"/>
      <c r="U837" s="1772"/>
      <c r="V837" s="1772"/>
      <c r="W837" s="1772"/>
      <c r="X837" s="1772"/>
      <c r="Y837" s="1772"/>
      <c r="Z837" s="1772"/>
      <c r="AA837" s="1772"/>
      <c r="AB837" s="1772"/>
      <c r="AC837" s="1772"/>
    </row>
    <row r="838" spans="1:29" s="1809" customFormat="1" ht="14.4" thickBot="1" x14ac:dyDescent="0.3">
      <c r="A838" s="1773"/>
      <c r="B838" s="1774" t="s">
        <v>2094</v>
      </c>
      <c r="C838" s="1774" t="s">
        <v>2095</v>
      </c>
      <c r="D838" s="1774" t="s">
        <v>2</v>
      </c>
      <c r="E838" s="1774" t="s">
        <v>2096</v>
      </c>
      <c r="F838" s="1774" t="s">
        <v>5</v>
      </c>
      <c r="G838" s="1774" t="s">
        <v>2097</v>
      </c>
      <c r="H838" s="2014">
        <f>0.1*1.3333</f>
        <v>0.13333</v>
      </c>
      <c r="I838" s="2014">
        <f>H838/6</f>
        <v>2.2221666666666667E-2</v>
      </c>
      <c r="J838" s="2014">
        <f>I838*1440</f>
        <v>31.999200000000002</v>
      </c>
      <c r="K838" s="1809">
        <f>32/50</f>
        <v>0.64</v>
      </c>
      <c r="L838" s="1809">
        <f>I838*5</f>
        <v>0.11110833333333334</v>
      </c>
      <c r="M838" s="1809">
        <f>L838/2.83</f>
        <v>3.9260895170789165E-2</v>
      </c>
      <c r="P838" s="1772"/>
      <c r="Q838" s="1772"/>
      <c r="R838" s="1772"/>
      <c r="S838" s="1772"/>
      <c r="T838" s="1772"/>
      <c r="U838" s="1772"/>
      <c r="V838" s="1772"/>
      <c r="W838" s="1772"/>
      <c r="X838" s="1772"/>
      <c r="Y838" s="1772"/>
      <c r="Z838" s="1772"/>
      <c r="AA838" s="1772"/>
      <c r="AB838" s="1772"/>
      <c r="AC838" s="1772"/>
    </row>
    <row r="839" spans="1:29" s="1809" customFormat="1" ht="13.8" x14ac:dyDescent="0.25">
      <c r="A839" s="1775"/>
      <c r="B839" s="1775"/>
      <c r="C839" s="1776"/>
      <c r="D839" s="1777"/>
      <c r="E839" s="1777"/>
      <c r="F839" s="1777"/>
      <c r="G839" s="1777"/>
      <c r="H839" s="2014"/>
      <c r="I839" s="2014">
        <f>0.405*0.205</f>
        <v>8.3025000000000002E-2</v>
      </c>
      <c r="J839" s="2014">
        <f>I839*112</f>
        <v>9.2988</v>
      </c>
      <c r="P839" s="1772"/>
      <c r="Q839" s="1772"/>
      <c r="R839" s="1772"/>
      <c r="S839" s="1772"/>
      <c r="T839" s="1772"/>
      <c r="U839" s="1772"/>
      <c r="V839" s="1772"/>
      <c r="W839" s="1772"/>
      <c r="X839" s="1772"/>
      <c r="Y839" s="1772"/>
      <c r="Z839" s="1772"/>
      <c r="AA839" s="1772"/>
      <c r="AB839" s="1772"/>
      <c r="AC839" s="1772"/>
    </row>
    <row r="840" spans="1:29" s="1809" customFormat="1" ht="13.8" x14ac:dyDescent="0.25">
      <c r="A840" s="1788"/>
      <c r="B840" s="1788" t="s">
        <v>2224</v>
      </c>
      <c r="C840" s="1789" t="s">
        <v>0</v>
      </c>
      <c r="D840" s="1789">
        <v>112</v>
      </c>
      <c r="E840" s="1789">
        <f>Material!D116</f>
        <v>168</v>
      </c>
      <c r="F840" s="1789">
        <f>D840*E840</f>
        <v>18816</v>
      </c>
      <c r="G840" s="1789"/>
      <c r="H840" s="2014"/>
      <c r="I840" s="2014"/>
      <c r="J840" s="2014"/>
      <c r="L840" s="1809">
        <f>9.29*0.1</f>
        <v>0.92899999999999994</v>
      </c>
      <c r="P840" s="1772"/>
      <c r="Q840" s="1772"/>
      <c r="R840" s="1772"/>
      <c r="S840" s="1772"/>
      <c r="T840" s="1772"/>
      <c r="U840" s="1772"/>
      <c r="V840" s="1772"/>
      <c r="W840" s="1772"/>
      <c r="X840" s="1772"/>
      <c r="Y840" s="1772"/>
      <c r="Z840" s="1772"/>
      <c r="AA840" s="1772"/>
      <c r="AB840" s="1772"/>
      <c r="AC840" s="1772"/>
    </row>
    <row r="841" spans="1:29" s="1809" customFormat="1" ht="13.8" x14ac:dyDescent="0.25">
      <c r="A841" s="1788"/>
      <c r="B841" s="1817" t="s">
        <v>2216</v>
      </c>
      <c r="C841" s="1714"/>
      <c r="D841" s="1789"/>
      <c r="E841" s="1789"/>
      <c r="F841" s="1789">
        <f>F840*5%</f>
        <v>940.80000000000007</v>
      </c>
      <c r="G841" s="1789"/>
      <c r="H841" s="2014"/>
      <c r="I841" s="2014">
        <f>0.39*0.19*0.1</f>
        <v>7.4099999999999999E-3</v>
      </c>
      <c r="J841" s="2014"/>
      <c r="L841" s="1809">
        <f>L840-I842</f>
        <v>9.9079999999999946E-2</v>
      </c>
      <c r="P841" s="1772"/>
      <c r="Q841" s="1772"/>
      <c r="R841" s="1772"/>
      <c r="S841" s="1772"/>
      <c r="T841" s="1772"/>
      <c r="U841" s="1772"/>
      <c r="V841" s="1772"/>
      <c r="W841" s="1772"/>
      <c r="X841" s="1772"/>
      <c r="Y841" s="1772"/>
      <c r="Z841" s="1772"/>
      <c r="AA841" s="1772"/>
      <c r="AB841" s="1772"/>
      <c r="AC841" s="1772"/>
    </row>
    <row r="842" spans="1:29" s="1809" customFormat="1" ht="13.8" x14ac:dyDescent="0.25">
      <c r="A842" s="1788"/>
      <c r="B842" s="1788" t="s">
        <v>2159</v>
      </c>
      <c r="C842" s="1789" t="s">
        <v>1945</v>
      </c>
      <c r="D842" s="1789">
        <v>0.64</v>
      </c>
      <c r="E842" s="1789">
        <f>F228</f>
        <v>0</v>
      </c>
      <c r="F842" s="1789">
        <f>D842*E842</f>
        <v>0</v>
      </c>
      <c r="G842" s="1789"/>
      <c r="H842" s="2014"/>
      <c r="I842" s="2014">
        <f>I841*112</f>
        <v>0.82991999999999999</v>
      </c>
      <c r="J842" s="2014"/>
      <c r="P842" s="1772"/>
      <c r="Q842" s="1772"/>
      <c r="R842" s="1772"/>
      <c r="S842" s="1772"/>
      <c r="T842" s="1772"/>
      <c r="U842" s="1772"/>
      <c r="V842" s="1772"/>
      <c r="W842" s="1772"/>
      <c r="X842" s="1772"/>
      <c r="Y842" s="1772"/>
      <c r="Z842" s="1772"/>
      <c r="AA842" s="1772"/>
      <c r="AB842" s="1772"/>
      <c r="AC842" s="1772"/>
    </row>
    <row r="843" spans="1:29" s="1809" customFormat="1" ht="13.8" x14ac:dyDescent="0.25">
      <c r="A843" s="1788"/>
      <c r="B843" s="1788" t="s">
        <v>1947</v>
      </c>
      <c r="C843" s="1789" t="s">
        <v>131</v>
      </c>
      <c r="D843" s="1789">
        <v>0.14000000000000001</v>
      </c>
      <c r="E843" s="1789">
        <f>Material!E44</f>
        <v>0</v>
      </c>
      <c r="F843" s="1789">
        <f>D843*E843</f>
        <v>0</v>
      </c>
      <c r="G843" s="1789"/>
      <c r="H843" s="2014"/>
      <c r="I843" s="2014"/>
      <c r="J843" s="2014"/>
      <c r="L843" s="1809">
        <f>0.1</f>
        <v>0.1</v>
      </c>
      <c r="M843" s="1809">
        <f>L843*1.3333</f>
        <v>0.13333</v>
      </c>
      <c r="N843" s="1826">
        <f>M843/6</f>
        <v>2.2221666666666667E-2</v>
      </c>
      <c r="P843" s="1772"/>
      <c r="Q843" s="1772"/>
      <c r="R843" s="1772"/>
      <c r="S843" s="1772"/>
      <c r="T843" s="1772"/>
      <c r="U843" s="1772"/>
      <c r="V843" s="1772"/>
      <c r="W843" s="1772"/>
      <c r="X843" s="1772"/>
      <c r="Y843" s="1772"/>
      <c r="Z843" s="1772"/>
      <c r="AA843" s="1772"/>
      <c r="AB843" s="1772"/>
      <c r="AC843" s="1772"/>
    </row>
    <row r="844" spans="1:29" s="1809" customFormat="1" ht="13.8" x14ac:dyDescent="0.25">
      <c r="A844" s="1775"/>
      <c r="B844" s="1790"/>
      <c r="C844" s="1777"/>
      <c r="D844" s="1777"/>
      <c r="E844" s="1777"/>
      <c r="F844" s="1777"/>
      <c r="G844" s="1777"/>
      <c r="H844" s="2014"/>
      <c r="I844" s="2014"/>
      <c r="J844" s="2014"/>
      <c r="P844" s="1772"/>
      <c r="Q844" s="1772"/>
      <c r="R844" s="1772"/>
      <c r="S844" s="1772"/>
      <c r="T844" s="1772"/>
      <c r="U844" s="1772"/>
      <c r="V844" s="1772"/>
      <c r="W844" s="1772"/>
      <c r="X844" s="1772"/>
      <c r="Y844" s="1772"/>
      <c r="Z844" s="1772"/>
      <c r="AA844" s="1772"/>
      <c r="AB844" s="1772"/>
      <c r="AC844" s="1772"/>
    </row>
    <row r="845" spans="1:29" s="1809" customFormat="1" ht="13.8" x14ac:dyDescent="0.25">
      <c r="A845" s="1775"/>
      <c r="B845" s="1776"/>
      <c r="C845" s="1777"/>
      <c r="D845" s="1777"/>
      <c r="E845" s="1777"/>
      <c r="F845" s="1777">
        <f t="shared" ref="F845:F846" si="95">D845*E845</f>
        <v>0</v>
      </c>
      <c r="G845" s="1777"/>
      <c r="H845" s="2014"/>
      <c r="I845" s="2014"/>
      <c r="J845" s="2014"/>
      <c r="L845" s="1826">
        <v>0.02</v>
      </c>
      <c r="M845" s="1809">
        <v>1440</v>
      </c>
      <c r="N845" s="1827">
        <f>L845*M845</f>
        <v>28.8</v>
      </c>
      <c r="P845" s="1772"/>
      <c r="Q845" s="1772"/>
      <c r="R845" s="1772"/>
      <c r="S845" s="1772"/>
      <c r="T845" s="1772"/>
      <c r="U845" s="1772"/>
      <c r="V845" s="1772"/>
      <c r="W845" s="1772"/>
      <c r="X845" s="1772"/>
      <c r="Y845" s="1772"/>
      <c r="Z845" s="1772"/>
      <c r="AA845" s="1772"/>
      <c r="AB845" s="1772"/>
      <c r="AC845" s="1772"/>
    </row>
    <row r="846" spans="1:29" s="1809" customFormat="1" ht="13.8" x14ac:dyDescent="0.25">
      <c r="A846" s="1775"/>
      <c r="B846" s="1775"/>
      <c r="C846" s="1776"/>
      <c r="D846" s="1777"/>
      <c r="E846" s="1777"/>
      <c r="F846" s="1777">
        <f t="shared" si="95"/>
        <v>0</v>
      </c>
      <c r="G846" s="1777"/>
      <c r="H846" s="2014"/>
      <c r="I846" s="2014"/>
      <c r="J846" s="2014"/>
      <c r="P846" s="1772"/>
      <c r="Q846" s="1772"/>
      <c r="R846" s="1772"/>
      <c r="S846" s="1772"/>
      <c r="T846" s="1772"/>
      <c r="U846" s="1772"/>
      <c r="V846" s="1772"/>
      <c r="W846" s="1772"/>
      <c r="X846" s="1772"/>
      <c r="Y846" s="1772"/>
      <c r="Z846" s="1772"/>
      <c r="AA846" s="1772"/>
      <c r="AB846" s="1772"/>
      <c r="AC846" s="1772"/>
    </row>
    <row r="847" spans="1:29" s="1809" customFormat="1" ht="13.8" x14ac:dyDescent="0.25">
      <c r="A847" s="1779"/>
      <c r="B847" s="2723" t="s">
        <v>2112</v>
      </c>
      <c r="C847" s="2723"/>
      <c r="D847" s="2723"/>
      <c r="E847" s="2723"/>
      <c r="F847" s="1780"/>
      <c r="G847" s="1781">
        <f>SUM(F840:F847)</f>
        <v>19756.8</v>
      </c>
      <c r="H847" s="2014"/>
      <c r="I847" s="2014"/>
      <c r="J847" s="2014"/>
      <c r="L847" s="1809">
        <f>0.02</f>
        <v>0.02</v>
      </c>
      <c r="M847" s="1809">
        <v>5</v>
      </c>
      <c r="N847" s="1809">
        <f>L847*M847</f>
        <v>0.1</v>
      </c>
      <c r="P847" s="1772"/>
      <c r="Q847" s="1772"/>
      <c r="R847" s="1772"/>
      <c r="S847" s="1772"/>
      <c r="T847" s="1772"/>
      <c r="U847" s="1772"/>
      <c r="V847" s="1772"/>
      <c r="W847" s="1772"/>
      <c r="X847" s="1772"/>
      <c r="Y847" s="1772"/>
      <c r="Z847" s="1772"/>
      <c r="AA847" s="1772"/>
      <c r="AB847" s="1772"/>
      <c r="AC847" s="1772"/>
    </row>
    <row r="848" spans="1:29" s="1809" customFormat="1" ht="13.8" x14ac:dyDescent="0.25">
      <c r="A848" s="1775"/>
      <c r="B848" s="1778" t="s">
        <v>2098</v>
      </c>
      <c r="C848" s="1776"/>
      <c r="D848" s="1777"/>
      <c r="E848" s="1777"/>
      <c r="F848" s="1777">
        <f t="shared" ref="F848:F849" si="96">D848*E848</f>
        <v>0</v>
      </c>
      <c r="G848" s="1777"/>
      <c r="H848" s="2014"/>
      <c r="I848" s="2014"/>
      <c r="J848" s="2014"/>
      <c r="P848" s="1772"/>
      <c r="Q848" s="1772"/>
      <c r="R848" s="1772"/>
      <c r="S848" s="1772"/>
      <c r="T848" s="1772"/>
      <c r="U848" s="1772"/>
      <c r="V848" s="1772"/>
      <c r="W848" s="1772"/>
      <c r="X848" s="1772"/>
      <c r="Y848" s="1772"/>
      <c r="Z848" s="1772"/>
      <c r="AA848" s="1772"/>
      <c r="AB848" s="1772"/>
      <c r="AC848" s="1772"/>
    </row>
    <row r="849" spans="1:9" ht="13.8" x14ac:dyDescent="0.25">
      <c r="A849" s="1788"/>
      <c r="B849" s="1788" t="s">
        <v>2106</v>
      </c>
      <c r="C849" s="1789" t="s">
        <v>2126</v>
      </c>
      <c r="D849" s="1789">
        <v>100</v>
      </c>
      <c r="E849" s="1789">
        <v>60</v>
      </c>
      <c r="F849" s="1789">
        <f t="shared" si="96"/>
        <v>6000</v>
      </c>
      <c r="G849" s="1789"/>
      <c r="I849" s="2014">
        <f>0.1*1.3333</f>
        <v>0.13333</v>
      </c>
    </row>
    <row r="850" spans="1:9" ht="13.8" x14ac:dyDescent="0.25">
      <c r="A850" s="1788"/>
      <c r="B850" s="1788"/>
      <c r="C850" s="1789"/>
      <c r="D850" s="1789"/>
      <c r="E850" s="1789"/>
      <c r="F850" s="1789"/>
      <c r="G850" s="1789"/>
      <c r="I850" s="2014">
        <f>I849/6</f>
        <v>2.2221666666666667E-2</v>
      </c>
    </row>
    <row r="851" spans="1:9" ht="13.8" x14ac:dyDescent="0.25">
      <c r="A851" s="1775"/>
      <c r="B851" s="1775" t="s">
        <v>2217</v>
      </c>
      <c r="C851" s="1777"/>
      <c r="D851" s="1777"/>
      <c r="E851" s="1777"/>
      <c r="F851" s="1777">
        <f>F849*5%</f>
        <v>300</v>
      </c>
      <c r="G851" s="1777"/>
    </row>
    <row r="852" spans="1:9" ht="13.8" x14ac:dyDescent="0.25">
      <c r="A852" s="1775"/>
      <c r="B852" s="1775"/>
      <c r="C852" s="1776"/>
      <c r="D852" s="1777"/>
      <c r="E852" s="1777"/>
      <c r="F852" s="1777"/>
      <c r="G852" s="1777"/>
    </row>
    <row r="853" spans="1:9" ht="13.8" x14ac:dyDescent="0.25">
      <c r="A853" s="1779"/>
      <c r="B853" s="2723" t="s">
        <v>2100</v>
      </c>
      <c r="C853" s="2723"/>
      <c r="D853" s="2723"/>
      <c r="E853" s="2723"/>
      <c r="F853" s="1780">
        <f t="shared" ref="F853" si="97">D853*E853</f>
        <v>0</v>
      </c>
      <c r="G853" s="1781">
        <f>SUM(F849:F853)</f>
        <v>6300</v>
      </c>
    </row>
    <row r="854" spans="1:9" ht="13.8" x14ac:dyDescent="0.25">
      <c r="A854" s="1775"/>
      <c r="B854" s="1782"/>
      <c r="C854" s="1782"/>
      <c r="D854" s="1782"/>
      <c r="E854" s="1782"/>
      <c r="F854" s="1777"/>
      <c r="G854" s="1782"/>
    </row>
    <row r="855" spans="1:9" ht="13.8" x14ac:dyDescent="0.25">
      <c r="A855" s="1775"/>
      <c r="B855" s="1782"/>
      <c r="C855" s="1782"/>
      <c r="D855" s="1782"/>
      <c r="E855" s="1782"/>
      <c r="F855" s="1777"/>
      <c r="G855" s="1782"/>
    </row>
    <row r="856" spans="1:9" ht="13.8" x14ac:dyDescent="0.25">
      <c r="A856" s="2716" t="s">
        <v>2127</v>
      </c>
      <c r="B856" s="2716"/>
      <c r="C856" s="2716"/>
      <c r="D856" s="2716"/>
      <c r="E856" s="2716"/>
      <c r="F856" s="2716"/>
      <c r="G856" s="1783">
        <f>G847+G853</f>
        <v>26056.799999999999</v>
      </c>
    </row>
    <row r="857" spans="1:9" ht="13.8" x14ac:dyDescent="0.25">
      <c r="A857" s="2716" t="s">
        <v>2128</v>
      </c>
      <c r="B857" s="2716"/>
      <c r="C857" s="2716"/>
      <c r="D857" s="2716"/>
      <c r="E857" s="2716"/>
      <c r="F857" s="2716"/>
      <c r="G857" s="1783">
        <f>G856/9.29</f>
        <v>2804.822389666308</v>
      </c>
    </row>
    <row r="858" spans="1:9" ht="13.8" x14ac:dyDescent="0.25">
      <c r="A858" s="2716" t="s">
        <v>2129</v>
      </c>
      <c r="B858" s="2716"/>
      <c r="C858" s="2716"/>
      <c r="D858" s="2716"/>
      <c r="E858" s="2716"/>
      <c r="F858" s="2716"/>
      <c r="G858" s="1825">
        <f>G857/10.76</f>
        <v>260.67122580541894</v>
      </c>
    </row>
    <row r="884" spans="1:7" x14ac:dyDescent="0.25">
      <c r="A884" s="2733" t="s">
        <v>578</v>
      </c>
      <c r="B884" s="2733"/>
      <c r="C884" s="2733"/>
      <c r="D884" s="2733"/>
      <c r="E884" s="2733"/>
      <c r="F884" s="2733"/>
      <c r="G884" s="2733"/>
    </row>
    <row r="885" spans="1:7" ht="13.8" thickBot="1" x14ac:dyDescent="0.3"/>
    <row r="886" spans="1:7" ht="13.8" x14ac:dyDescent="0.25">
      <c r="A886" s="2717" t="s">
        <v>2231</v>
      </c>
      <c r="B886" s="2718"/>
      <c r="C886" s="2718"/>
      <c r="D886" s="2718"/>
      <c r="E886" s="2718"/>
      <c r="F886" s="2718"/>
      <c r="G886" s="2719"/>
    </row>
    <row r="887" spans="1:7" ht="14.4" thickBot="1" x14ac:dyDescent="0.3">
      <c r="A887" s="2720" t="s">
        <v>2093</v>
      </c>
      <c r="B887" s="2721"/>
      <c r="C887" s="2721"/>
      <c r="D887" s="2721"/>
      <c r="E887" s="2721"/>
      <c r="F887" s="2721"/>
      <c r="G887" s="2722"/>
    </row>
    <row r="888" spans="1:7" ht="14.4" thickBot="1" x14ac:dyDescent="0.3">
      <c r="A888" s="1773"/>
      <c r="B888" s="1774" t="s">
        <v>2094</v>
      </c>
      <c r="C888" s="1774" t="s">
        <v>2095</v>
      </c>
      <c r="D888" s="1774" t="s">
        <v>2</v>
      </c>
      <c r="E888" s="1774" t="s">
        <v>2096</v>
      </c>
      <c r="F888" s="1774" t="s">
        <v>5</v>
      </c>
      <c r="G888" s="1774" t="s">
        <v>2097</v>
      </c>
    </row>
    <row r="889" spans="1:7" ht="13.8" x14ac:dyDescent="0.25">
      <c r="A889" s="1775"/>
      <c r="B889" s="1775"/>
      <c r="C889" s="1776"/>
      <c r="D889" s="1777"/>
      <c r="E889" s="1777"/>
      <c r="F889" s="1777"/>
      <c r="G889" s="1777"/>
    </row>
    <row r="890" spans="1:7" ht="13.8" x14ac:dyDescent="0.25">
      <c r="A890" s="1775"/>
      <c r="B890" s="1778" t="s">
        <v>2111</v>
      </c>
      <c r="C890" s="1776"/>
      <c r="D890" s="1777"/>
      <c r="E890" s="1777"/>
      <c r="F890" s="1777"/>
      <c r="G890" s="1777"/>
    </row>
    <row r="891" spans="1:7" ht="13.8" x14ac:dyDescent="0.25">
      <c r="A891" s="1775"/>
      <c r="B891" s="1775"/>
      <c r="C891" s="1776"/>
      <c r="D891" s="1777"/>
      <c r="E891" s="1777"/>
      <c r="F891" s="1777"/>
      <c r="G891" s="1777"/>
    </row>
    <row r="892" spans="1:7" ht="13.8" x14ac:dyDescent="0.25">
      <c r="A892" s="1786"/>
      <c r="B892" s="1786" t="s">
        <v>2159</v>
      </c>
      <c r="C892" s="1761" t="s">
        <v>1945</v>
      </c>
      <c r="D892" s="1761">
        <v>2.2999999999999998</v>
      </c>
      <c r="E892" s="1761">
        <f>F197</f>
        <v>2235.625</v>
      </c>
      <c r="F892" s="1761">
        <f>D892*E892</f>
        <v>5141.9375</v>
      </c>
      <c r="G892" s="1761"/>
    </row>
    <row r="893" spans="1:7" ht="13.8" x14ac:dyDescent="0.25">
      <c r="A893" s="1786"/>
      <c r="B893" s="1786" t="s">
        <v>1947</v>
      </c>
      <c r="C893" s="1761" t="s">
        <v>131</v>
      </c>
      <c r="D893" s="1761">
        <v>0.08</v>
      </c>
      <c r="E893" s="1761">
        <f>Material!E13</f>
        <v>23500</v>
      </c>
      <c r="F893" s="1761">
        <f>D893*E893</f>
        <v>1880</v>
      </c>
      <c r="G893" s="1761"/>
    </row>
    <row r="894" spans="1:7" ht="13.8" x14ac:dyDescent="0.25">
      <c r="A894" s="1786"/>
      <c r="B894" s="1786" t="s">
        <v>1987</v>
      </c>
      <c r="C894" s="1761" t="s">
        <v>134</v>
      </c>
      <c r="D894" s="1761">
        <v>27</v>
      </c>
      <c r="E894" s="1761">
        <v>69</v>
      </c>
      <c r="F894" s="1761">
        <f>D894*E894</f>
        <v>1863</v>
      </c>
      <c r="G894" s="1761"/>
    </row>
    <row r="895" spans="1:7" ht="13.8" x14ac:dyDescent="0.25">
      <c r="A895" s="1786"/>
      <c r="B895" s="1786" t="s">
        <v>1988</v>
      </c>
      <c r="C895" s="1761" t="s">
        <v>981</v>
      </c>
      <c r="D895" s="1761">
        <v>1</v>
      </c>
      <c r="E895" s="1761">
        <v>260</v>
      </c>
      <c r="F895" s="1761">
        <f t="shared" ref="F895" si="98">D895*E895</f>
        <v>260</v>
      </c>
      <c r="G895" s="1761"/>
    </row>
    <row r="896" spans="1:7" ht="13.8" x14ac:dyDescent="0.25">
      <c r="A896" s="1788"/>
      <c r="B896" s="1788"/>
      <c r="C896" s="1789"/>
      <c r="D896" s="1789"/>
      <c r="E896" s="1789"/>
      <c r="F896" s="1789"/>
      <c r="G896" s="1789"/>
    </row>
    <row r="897" spans="1:7" ht="13.8" x14ac:dyDescent="0.25">
      <c r="A897" s="1788"/>
      <c r="B897" s="1788"/>
      <c r="C897" s="1789"/>
      <c r="D897" s="1789"/>
      <c r="E897" s="1789"/>
      <c r="F897" s="1789"/>
      <c r="G897" s="1789"/>
    </row>
    <row r="898" spans="1:7" ht="13.8" x14ac:dyDescent="0.25">
      <c r="A898" s="1779"/>
      <c r="B898" s="2723" t="s">
        <v>2112</v>
      </c>
      <c r="C898" s="2723"/>
      <c r="D898" s="2723"/>
      <c r="E898" s="2723"/>
      <c r="F898" s="1780"/>
      <c r="G898" s="1781">
        <f>SUM(F891:F897)</f>
        <v>9144.9375</v>
      </c>
    </row>
    <row r="899" spans="1:7" ht="13.8" x14ac:dyDescent="0.25">
      <c r="A899" s="1775"/>
      <c r="B899" s="1778" t="s">
        <v>2098</v>
      </c>
      <c r="C899" s="1776"/>
      <c r="D899" s="1777"/>
      <c r="E899" s="1777"/>
      <c r="F899" s="1777">
        <f>D899*E899</f>
        <v>0</v>
      </c>
      <c r="G899" s="1777"/>
    </row>
    <row r="900" spans="1:7" ht="13.8" x14ac:dyDescent="0.25">
      <c r="A900" s="1775"/>
      <c r="B900" s="1778"/>
      <c r="C900" s="1776"/>
      <c r="D900" s="1777"/>
      <c r="E900" s="1777"/>
      <c r="F900" s="1777"/>
      <c r="G900" s="1777"/>
    </row>
    <row r="901" spans="1:7" ht="13.8" x14ac:dyDescent="0.25">
      <c r="A901" s="1786"/>
      <c r="B901" s="1786" t="s">
        <v>2106</v>
      </c>
      <c r="C901" s="1761" t="s">
        <v>2126</v>
      </c>
      <c r="D901" s="1761">
        <v>100</v>
      </c>
      <c r="E901" s="1761">
        <f>75+22</f>
        <v>97</v>
      </c>
      <c r="F901" s="1761">
        <f>D901*E901</f>
        <v>9700</v>
      </c>
      <c r="G901" s="1761"/>
    </row>
    <row r="902" spans="1:7" ht="13.8" x14ac:dyDescent="0.25">
      <c r="A902" s="1775"/>
      <c r="B902" s="1775"/>
      <c r="C902" s="1777"/>
      <c r="D902" s="1777"/>
      <c r="E902" s="1777"/>
      <c r="F902" s="1777"/>
      <c r="G902" s="1777"/>
    </row>
    <row r="903" spans="1:7" ht="13.8" x14ac:dyDescent="0.25">
      <c r="A903" s="1775"/>
      <c r="B903" s="1775" t="s">
        <v>2228</v>
      </c>
      <c r="C903" s="1777"/>
      <c r="D903" s="1777"/>
      <c r="E903" s="1777"/>
      <c r="F903" s="1777">
        <f>F901*3%</f>
        <v>291</v>
      </c>
      <c r="G903" s="1777"/>
    </row>
    <row r="904" spans="1:7" ht="13.8" x14ac:dyDescent="0.25">
      <c r="A904" s="1775"/>
      <c r="B904" s="1775" t="s">
        <v>2232</v>
      </c>
      <c r="C904" s="1777"/>
      <c r="D904" s="1777"/>
      <c r="E904" s="1777"/>
      <c r="F904" s="1777">
        <f>F901*5%</f>
        <v>485</v>
      </c>
      <c r="G904" s="1777"/>
    </row>
    <row r="905" spans="1:7" ht="13.8" x14ac:dyDescent="0.25">
      <c r="A905" s="1775"/>
      <c r="B905" s="1775"/>
      <c r="C905" s="1776"/>
      <c r="D905" s="1777"/>
      <c r="E905" s="1777"/>
      <c r="F905" s="1777"/>
      <c r="G905" s="1777"/>
    </row>
    <row r="906" spans="1:7" ht="13.8" x14ac:dyDescent="0.25">
      <c r="A906" s="1779"/>
      <c r="B906" s="2723" t="s">
        <v>2100</v>
      </c>
      <c r="C906" s="2723"/>
      <c r="D906" s="2723"/>
      <c r="E906" s="2723"/>
      <c r="F906" s="1780">
        <f>D906*E906</f>
        <v>0</v>
      </c>
      <c r="G906" s="1781">
        <f>SUM(F901:F906)</f>
        <v>10476</v>
      </c>
    </row>
    <row r="907" spans="1:7" ht="13.8" x14ac:dyDescent="0.25">
      <c r="A907" s="1775"/>
      <c r="B907" s="1782"/>
      <c r="C907" s="1782"/>
      <c r="D907" s="1782"/>
      <c r="E907" s="1782"/>
      <c r="F907" s="1777"/>
      <c r="G907" s="1782"/>
    </row>
    <row r="908" spans="1:7" ht="13.8" x14ac:dyDescent="0.25">
      <c r="A908" s="1775"/>
      <c r="B908" s="1782"/>
      <c r="C908" s="1782"/>
      <c r="D908" s="1782"/>
      <c r="E908" s="1782"/>
      <c r="F908" s="1777"/>
      <c r="G908" s="1782"/>
    </row>
    <row r="909" spans="1:7" ht="13.8" x14ac:dyDescent="0.25">
      <c r="A909" s="2716" t="s">
        <v>2127</v>
      </c>
      <c r="B909" s="2716"/>
      <c r="C909" s="2716"/>
      <c r="D909" s="2716"/>
      <c r="E909" s="2716"/>
      <c r="F909" s="2716"/>
      <c r="G909" s="1783">
        <f>G898+G906</f>
        <v>19620.9375</v>
      </c>
    </row>
    <row r="910" spans="1:7" ht="13.8" x14ac:dyDescent="0.25">
      <c r="A910" s="2716" t="s">
        <v>2128</v>
      </c>
      <c r="B910" s="2716"/>
      <c r="C910" s="2716"/>
      <c r="D910" s="2716"/>
      <c r="E910" s="2716"/>
      <c r="F910" s="2716"/>
      <c r="G910" s="1783">
        <f>G909/9.29</f>
        <v>2112.049246501615</v>
      </c>
    </row>
    <row r="911" spans="1:7" ht="13.8" x14ac:dyDescent="0.25">
      <c r="A911" s="2716" t="s">
        <v>2129</v>
      </c>
      <c r="B911" s="2716"/>
      <c r="C911" s="2716"/>
      <c r="D911" s="2716"/>
      <c r="E911" s="2716"/>
      <c r="F911" s="2716"/>
      <c r="G911" s="1783">
        <f>G910/10.76</f>
        <v>196.28710469345864</v>
      </c>
    </row>
    <row r="920" spans="1:7" ht="13.8" thickBot="1" x14ac:dyDescent="0.3"/>
    <row r="921" spans="1:7" ht="13.8" x14ac:dyDescent="0.25">
      <c r="A921" s="2717" t="s">
        <v>2231</v>
      </c>
      <c r="B921" s="2718"/>
      <c r="C921" s="2718"/>
      <c r="D921" s="2718"/>
      <c r="E921" s="2718"/>
      <c r="F921" s="2718"/>
      <c r="G921" s="2719"/>
    </row>
    <row r="922" spans="1:7" ht="14.4" thickBot="1" x14ac:dyDescent="0.3">
      <c r="A922" s="2720" t="s">
        <v>2093</v>
      </c>
      <c r="B922" s="2721"/>
      <c r="C922" s="2721"/>
      <c r="D922" s="2721"/>
      <c r="E922" s="2721"/>
      <c r="F922" s="2721"/>
      <c r="G922" s="2722"/>
    </row>
    <row r="923" spans="1:7" ht="14.4" thickBot="1" x14ac:dyDescent="0.3">
      <c r="A923" s="1773"/>
      <c r="B923" s="1774" t="s">
        <v>2094</v>
      </c>
      <c r="C923" s="1774" t="s">
        <v>2095</v>
      </c>
      <c r="D923" s="1774" t="s">
        <v>2</v>
      </c>
      <c r="E923" s="1774" t="s">
        <v>2096</v>
      </c>
      <c r="F923" s="1774" t="s">
        <v>5</v>
      </c>
      <c r="G923" s="1774" t="s">
        <v>2097</v>
      </c>
    </row>
    <row r="924" spans="1:7" ht="13.8" x14ac:dyDescent="0.25">
      <c r="A924" s="1775"/>
      <c r="B924" s="1775"/>
      <c r="C924" s="1776"/>
      <c r="D924" s="1777"/>
      <c r="E924" s="1777"/>
      <c r="F924" s="1777"/>
      <c r="G924" s="1777"/>
    </row>
    <row r="925" spans="1:7" ht="13.8" x14ac:dyDescent="0.25">
      <c r="A925" s="1775"/>
      <c r="B925" s="1778" t="s">
        <v>2111</v>
      </c>
      <c r="C925" s="1776"/>
      <c r="D925" s="1777"/>
      <c r="E925" s="1777"/>
      <c r="F925" s="1777"/>
      <c r="G925" s="1777"/>
    </row>
    <row r="926" spans="1:7" ht="13.8" x14ac:dyDescent="0.25">
      <c r="A926" s="1775"/>
      <c r="B926" s="1775"/>
      <c r="C926" s="1776"/>
      <c r="D926" s="1777"/>
      <c r="E926" s="1777"/>
      <c r="F926" s="1777"/>
      <c r="G926" s="1777"/>
    </row>
    <row r="927" spans="1:7" ht="13.8" x14ac:dyDescent="0.25">
      <c r="A927" s="1788"/>
      <c r="B927" s="1788" t="s">
        <v>2159</v>
      </c>
      <c r="C927" s="1789" t="s">
        <v>1945</v>
      </c>
      <c r="D927" s="1789">
        <v>0.95</v>
      </c>
      <c r="E927" s="1789">
        <f>F197</f>
        <v>2235.625</v>
      </c>
      <c r="F927" s="1789">
        <f t="shared" ref="F927:F932" si="99">D927*E927</f>
        <v>2123.84375</v>
      </c>
      <c r="G927" s="1789"/>
    </row>
    <row r="928" spans="1:7" ht="13.8" x14ac:dyDescent="0.25">
      <c r="A928" s="1788"/>
      <c r="B928" s="1788" t="s">
        <v>1947</v>
      </c>
      <c r="C928" s="1789" t="s">
        <v>131</v>
      </c>
      <c r="D928" s="1789">
        <v>7.0000000000000007E-2</v>
      </c>
      <c r="E928" s="1789">
        <f>Material!E13</f>
        <v>23500</v>
      </c>
      <c r="F928" s="1789">
        <f t="shared" si="99"/>
        <v>1645.0000000000002</v>
      </c>
      <c r="G928" s="1789"/>
    </row>
    <row r="929" spans="1:8" ht="13.8" x14ac:dyDescent="0.25">
      <c r="A929" s="1788"/>
      <c r="B929" s="1714" t="s">
        <v>1975</v>
      </c>
      <c r="C929" s="1789" t="s">
        <v>1974</v>
      </c>
      <c r="D929" s="1789">
        <v>0.2</v>
      </c>
      <c r="E929" s="1789">
        <f>Material!E41</f>
        <v>345</v>
      </c>
      <c r="F929" s="1789">
        <f t="shared" si="99"/>
        <v>69</v>
      </c>
      <c r="G929" s="1789"/>
    </row>
    <row r="930" spans="1:8" ht="13.8" x14ac:dyDescent="0.25">
      <c r="A930" s="1788"/>
      <c r="B930" s="1788" t="s">
        <v>2233</v>
      </c>
      <c r="C930" s="1789" t="s">
        <v>692</v>
      </c>
      <c r="D930" s="1789">
        <v>1.5</v>
      </c>
      <c r="E930" s="1789">
        <v>440</v>
      </c>
      <c r="F930" s="1789">
        <f t="shared" si="99"/>
        <v>660</v>
      </c>
      <c r="G930" s="1789"/>
    </row>
    <row r="931" spans="1:8" ht="13.8" x14ac:dyDescent="0.25">
      <c r="A931" s="1788"/>
      <c r="B931" s="1788" t="s">
        <v>1987</v>
      </c>
      <c r="C931" s="1789" t="s">
        <v>134</v>
      </c>
      <c r="D931" s="1789">
        <v>27</v>
      </c>
      <c r="E931" s="1789">
        <f>Material!E147</f>
        <v>69</v>
      </c>
      <c r="F931" s="1789">
        <f t="shared" si="99"/>
        <v>1863</v>
      </c>
      <c r="G931" s="1789"/>
    </row>
    <row r="932" spans="1:8" ht="13.8" x14ac:dyDescent="0.25">
      <c r="A932" s="1788"/>
      <c r="B932" s="1788" t="s">
        <v>2234</v>
      </c>
      <c r="C932" s="1789" t="s">
        <v>981</v>
      </c>
      <c r="D932" s="1789">
        <v>1</v>
      </c>
      <c r="E932" s="1789">
        <f>Material!E162</f>
        <v>260</v>
      </c>
      <c r="F932" s="1789">
        <f t="shared" si="99"/>
        <v>260</v>
      </c>
      <c r="G932" s="1789"/>
    </row>
    <row r="933" spans="1:8" ht="13.8" x14ac:dyDescent="0.25">
      <c r="A933" s="1788"/>
      <c r="B933" s="1788"/>
      <c r="C933" s="1789"/>
      <c r="D933" s="1789"/>
      <c r="E933" s="1789"/>
      <c r="F933" s="1789"/>
      <c r="G933" s="1789"/>
    </row>
    <row r="934" spans="1:8" ht="13.8" x14ac:dyDescent="0.25">
      <c r="A934" s="1779"/>
      <c r="B934" s="2723" t="s">
        <v>2112</v>
      </c>
      <c r="C934" s="2723"/>
      <c r="D934" s="2723"/>
      <c r="E934" s="2723"/>
      <c r="F934" s="1780"/>
      <c r="G934" s="1781">
        <f>SUM(F926:F933)</f>
        <v>6620.84375</v>
      </c>
      <c r="H934" s="2073">
        <f>+F927+F928+F929</f>
        <v>3837.84375</v>
      </c>
    </row>
    <row r="935" spans="1:8" ht="13.8" x14ac:dyDescent="0.25">
      <c r="A935" s="1775"/>
      <c r="B935" s="1778" t="s">
        <v>2098</v>
      </c>
      <c r="C935" s="1776"/>
      <c r="D935" s="1777"/>
      <c r="E935" s="1777"/>
      <c r="F935" s="1777">
        <f>D935*E935</f>
        <v>0</v>
      </c>
      <c r="G935" s="1777"/>
    </row>
    <row r="936" spans="1:8" ht="13.8" x14ac:dyDescent="0.25">
      <c r="A936" s="1775"/>
      <c r="B936" s="1778"/>
      <c r="C936" s="1776"/>
      <c r="D936" s="1777"/>
      <c r="E936" s="1777"/>
      <c r="F936" s="1777"/>
      <c r="G936" s="1777"/>
    </row>
    <row r="937" spans="1:8" ht="13.8" x14ac:dyDescent="0.25">
      <c r="A937" s="1788"/>
      <c r="B937" s="1788" t="s">
        <v>2106</v>
      </c>
      <c r="C937" s="1789" t="s">
        <v>2126</v>
      </c>
      <c r="D937" s="1789">
        <v>100</v>
      </c>
      <c r="E937" s="1789">
        <v>80</v>
      </c>
      <c r="F937" s="1789">
        <f>D937*E937</f>
        <v>8000</v>
      </c>
      <c r="G937" s="1789"/>
    </row>
    <row r="938" spans="1:8" ht="13.8" x14ac:dyDescent="0.25">
      <c r="A938" s="1775"/>
      <c r="B938" s="1775"/>
      <c r="C938" s="1777"/>
      <c r="D938" s="1777"/>
      <c r="E938" s="1777"/>
      <c r="F938" s="1777"/>
      <c r="G938" s="1777"/>
    </row>
    <row r="939" spans="1:8" ht="13.8" x14ac:dyDescent="0.25">
      <c r="A939" s="1775"/>
      <c r="B939" s="1775" t="s">
        <v>2228</v>
      </c>
      <c r="C939" s="1777"/>
      <c r="D939" s="1777"/>
      <c r="E939" s="1777"/>
      <c r="F939" s="1777">
        <f>F937*3%</f>
        <v>240</v>
      </c>
      <c r="G939" s="1777"/>
    </row>
    <row r="940" spans="1:8" ht="13.8" x14ac:dyDescent="0.25">
      <c r="A940" s="1775"/>
      <c r="B940" s="1775" t="s">
        <v>2232</v>
      </c>
      <c r="C940" s="1777"/>
      <c r="D940" s="1777"/>
      <c r="E940" s="1777"/>
      <c r="F940" s="1777">
        <f>F937*5%</f>
        <v>400</v>
      </c>
      <c r="G940" s="1777"/>
    </row>
    <row r="941" spans="1:8" ht="13.8" x14ac:dyDescent="0.25">
      <c r="A941" s="1775"/>
      <c r="B941" s="1775"/>
      <c r="C941" s="1776"/>
      <c r="D941" s="1777"/>
      <c r="E941" s="1777"/>
      <c r="F941" s="1777"/>
      <c r="G941" s="1777"/>
    </row>
    <row r="942" spans="1:8" ht="13.8" x14ac:dyDescent="0.25">
      <c r="A942" s="1779"/>
      <c r="B942" s="2723" t="s">
        <v>2100</v>
      </c>
      <c r="C942" s="2723"/>
      <c r="D942" s="2723"/>
      <c r="E942" s="2723"/>
      <c r="F942" s="1780">
        <f>D942*E942</f>
        <v>0</v>
      </c>
      <c r="G942" s="1781">
        <f>SUM(F937:F942)</f>
        <v>8640</v>
      </c>
      <c r="H942" s="2073">
        <f>+F937+F939+F940</f>
        <v>8640</v>
      </c>
    </row>
    <row r="943" spans="1:8" ht="13.8" x14ac:dyDescent="0.25">
      <c r="A943" s="1775"/>
      <c r="B943" s="1782"/>
      <c r="C943" s="1782"/>
      <c r="D943" s="1782"/>
      <c r="E943" s="1782"/>
      <c r="F943" s="1777"/>
      <c r="G943" s="1782"/>
    </row>
    <row r="944" spans="1:8" ht="13.8" x14ac:dyDescent="0.25">
      <c r="A944" s="1775"/>
      <c r="B944" s="1782"/>
      <c r="C944" s="1782"/>
      <c r="D944" s="1782"/>
      <c r="E944" s="1782"/>
      <c r="F944" s="1777"/>
      <c r="G944" s="1782"/>
    </row>
    <row r="945" spans="1:8" ht="13.8" x14ac:dyDescent="0.25">
      <c r="A945" s="2716" t="s">
        <v>2127</v>
      </c>
      <c r="B945" s="2716"/>
      <c r="C945" s="2716"/>
      <c r="D945" s="2716"/>
      <c r="E945" s="2716"/>
      <c r="F945" s="2716"/>
      <c r="G945" s="1783">
        <f>G934+G942</f>
        <v>15260.84375</v>
      </c>
      <c r="H945" s="2284">
        <f>H934+H942</f>
        <v>12477.84375</v>
      </c>
    </row>
    <row r="946" spans="1:8" ht="13.8" x14ac:dyDescent="0.25">
      <c r="A946" s="2716" t="s">
        <v>2128</v>
      </c>
      <c r="B946" s="2716"/>
      <c r="C946" s="2716"/>
      <c r="D946" s="2716"/>
      <c r="E946" s="2716"/>
      <c r="F946" s="2716"/>
      <c r="G946" s="1783">
        <f>G945/9.29</f>
        <v>1642.7173035522069</v>
      </c>
      <c r="H946" s="2284">
        <f>H945/9.29</f>
        <v>1343.1478740581272</v>
      </c>
    </row>
    <row r="947" spans="1:8" ht="13.8" x14ac:dyDescent="0.25">
      <c r="A947" s="2716" t="s">
        <v>2129</v>
      </c>
      <c r="B947" s="2716"/>
      <c r="C947" s="2716"/>
      <c r="D947" s="2716"/>
      <c r="E947" s="2716"/>
      <c r="F947" s="2716"/>
      <c r="G947" s="1783">
        <f>G946/10.76</f>
        <v>152.66889438217535</v>
      </c>
      <c r="H947" s="2284">
        <f>H946/10.76</f>
        <v>124.82786933625718</v>
      </c>
    </row>
    <row r="950" spans="1:8" ht="13.8" thickBot="1" x14ac:dyDescent="0.3"/>
    <row r="951" spans="1:8" ht="13.8" x14ac:dyDescent="0.25">
      <c r="A951" s="2717" t="s">
        <v>2235</v>
      </c>
      <c r="B951" s="2718"/>
      <c r="C951" s="2718"/>
      <c r="D951" s="2718"/>
      <c r="E951" s="2718"/>
      <c r="F951" s="2718"/>
      <c r="G951" s="2719"/>
    </row>
    <row r="952" spans="1:8" ht="14.4" thickBot="1" x14ac:dyDescent="0.3">
      <c r="A952" s="2720" t="s">
        <v>2093</v>
      </c>
      <c r="B952" s="2721"/>
      <c r="C952" s="2721"/>
      <c r="D952" s="2721"/>
      <c r="E952" s="2721"/>
      <c r="F952" s="2721"/>
      <c r="G952" s="2722"/>
    </row>
    <row r="953" spans="1:8" ht="14.4" thickBot="1" x14ac:dyDescent="0.3">
      <c r="A953" s="1773"/>
      <c r="B953" s="1774" t="s">
        <v>2094</v>
      </c>
      <c r="C953" s="1774" t="s">
        <v>2095</v>
      </c>
      <c r="D953" s="1774" t="s">
        <v>2</v>
      </c>
      <c r="E953" s="1774" t="s">
        <v>2096</v>
      </c>
      <c r="F953" s="1774" t="s">
        <v>5</v>
      </c>
      <c r="G953" s="1774" t="s">
        <v>2097</v>
      </c>
    </row>
    <row r="954" spans="1:8" ht="13.8" x14ac:dyDescent="0.25">
      <c r="A954" s="1775"/>
      <c r="B954" s="1775"/>
      <c r="C954" s="1776"/>
      <c r="D954" s="1777"/>
      <c r="E954" s="1777"/>
      <c r="F954" s="1777"/>
      <c r="G954" s="1777"/>
    </row>
    <row r="955" spans="1:8" ht="13.8" x14ac:dyDescent="0.25">
      <c r="A955" s="1775"/>
      <c r="B955" s="1778" t="s">
        <v>2111</v>
      </c>
      <c r="C955" s="1776"/>
      <c r="D955" s="1777"/>
      <c r="E955" s="1777"/>
      <c r="F955" s="1777"/>
      <c r="G955" s="1777"/>
    </row>
    <row r="956" spans="1:8" ht="13.8" x14ac:dyDescent="0.25">
      <c r="A956" s="1775"/>
      <c r="B956" s="1775"/>
      <c r="C956" s="1776"/>
      <c r="D956" s="1777"/>
      <c r="E956" s="1777"/>
      <c r="F956" s="1777"/>
      <c r="G956" s="1777"/>
    </row>
    <row r="957" spans="1:8" ht="13.8" x14ac:dyDescent="0.25">
      <c r="A957" s="1788"/>
      <c r="B957" s="1788" t="s">
        <v>2159</v>
      </c>
      <c r="C957" s="1789" t="s">
        <v>1945</v>
      </c>
      <c r="D957" s="1789">
        <v>1.21</v>
      </c>
      <c r="E957" s="1789">
        <f>F197</f>
        <v>2235.625</v>
      </c>
      <c r="F957" s="1789">
        <f>D957*E957</f>
        <v>2705.1062499999998</v>
      </c>
      <c r="G957" s="1789"/>
    </row>
    <row r="958" spans="1:8" ht="13.8" x14ac:dyDescent="0.25">
      <c r="A958" s="1788"/>
      <c r="B958" s="1788" t="s">
        <v>1947</v>
      </c>
      <c r="C958" s="1789" t="s">
        <v>131</v>
      </c>
      <c r="D958" s="1789">
        <v>0.08</v>
      </c>
      <c r="E958" s="1789">
        <f>Material!E13</f>
        <v>23500</v>
      </c>
      <c r="F958" s="1789">
        <f>D958*E958</f>
        <v>1880</v>
      </c>
      <c r="G958" s="1789"/>
    </row>
    <row r="959" spans="1:8" ht="13.8" x14ac:dyDescent="0.25">
      <c r="A959" s="1788"/>
      <c r="B959" s="1788" t="s">
        <v>2233</v>
      </c>
      <c r="C959" s="1789" t="s">
        <v>692</v>
      </c>
      <c r="D959" s="1789">
        <v>1.5</v>
      </c>
      <c r="E959" s="1789">
        <v>440</v>
      </c>
      <c r="F959" s="1789">
        <f>D959*E959</f>
        <v>660</v>
      </c>
      <c r="G959" s="1789"/>
    </row>
    <row r="960" spans="1:8" ht="13.8" x14ac:dyDescent="0.25">
      <c r="A960" s="1788"/>
      <c r="B960" s="1714" t="s">
        <v>1975</v>
      </c>
      <c r="C960" s="1789" t="s">
        <v>1974</v>
      </c>
      <c r="D960" s="1789">
        <v>0.2</v>
      </c>
      <c r="E960" s="1789">
        <f>Material!E158</f>
        <v>345</v>
      </c>
      <c r="F960" s="1789">
        <f>D960*E960</f>
        <v>69</v>
      </c>
      <c r="G960" s="1789"/>
    </row>
    <row r="961" spans="1:7" ht="13.8" x14ac:dyDescent="0.25">
      <c r="A961" s="1775"/>
      <c r="B961" s="1775"/>
      <c r="C961" s="1776"/>
      <c r="D961" s="1777"/>
      <c r="E961" s="1777"/>
      <c r="F961" s="1777"/>
      <c r="G961" s="1777"/>
    </row>
    <row r="962" spans="1:7" ht="13.8" x14ac:dyDescent="0.25">
      <c r="A962" s="1779"/>
      <c r="B962" s="2723" t="s">
        <v>2112</v>
      </c>
      <c r="C962" s="2723"/>
      <c r="D962" s="2723"/>
      <c r="E962" s="2723"/>
      <c r="F962" s="1780"/>
      <c r="G962" s="1781">
        <f>SUM(F955:F962)</f>
        <v>5314.1062499999998</v>
      </c>
    </row>
    <row r="963" spans="1:7" ht="13.8" x14ac:dyDescent="0.25">
      <c r="A963" s="1775"/>
      <c r="B963" s="1778" t="s">
        <v>2098</v>
      </c>
      <c r="C963" s="1776"/>
      <c r="D963" s="1777"/>
      <c r="E963" s="1777"/>
      <c r="F963" s="1777"/>
      <c r="G963" s="1777"/>
    </row>
    <row r="964" spans="1:7" ht="13.8" x14ac:dyDescent="0.25">
      <c r="A964" s="1788"/>
      <c r="B964" s="1788" t="s">
        <v>2106</v>
      </c>
      <c r="C964" s="1789" t="s">
        <v>2126</v>
      </c>
      <c r="D964" s="1789">
        <v>100</v>
      </c>
      <c r="E964" s="1789">
        <v>85</v>
      </c>
      <c r="F964" s="1789">
        <f>D964*E964</f>
        <v>8500</v>
      </c>
      <c r="G964" s="1789"/>
    </row>
    <row r="965" spans="1:7" ht="13.8" x14ac:dyDescent="0.25">
      <c r="A965" s="1788"/>
      <c r="B965" s="1788"/>
      <c r="C965" s="1789"/>
      <c r="D965" s="1789"/>
      <c r="E965" s="1789"/>
      <c r="F965" s="1789"/>
      <c r="G965" s="1789"/>
    </row>
    <row r="966" spans="1:7" ht="13.8" x14ac:dyDescent="0.25">
      <c r="A966" s="1788"/>
      <c r="B966" s="1788" t="s">
        <v>2232</v>
      </c>
      <c r="C966" s="1789"/>
      <c r="D966" s="1789"/>
      <c r="E966" s="1789"/>
      <c r="F966" s="1789">
        <f>F964*5%</f>
        <v>425</v>
      </c>
      <c r="G966" s="1789"/>
    </row>
    <row r="967" spans="1:7" ht="13.8" x14ac:dyDescent="0.25">
      <c r="A967" s="1775"/>
      <c r="B967" s="1775"/>
      <c r="C967" s="1776"/>
      <c r="D967" s="1777"/>
      <c r="E967" s="1777"/>
      <c r="F967" s="1777"/>
      <c r="G967" s="1777"/>
    </row>
    <row r="968" spans="1:7" ht="13.8" x14ac:dyDescent="0.25">
      <c r="A968" s="1779"/>
      <c r="B968" s="2723" t="s">
        <v>2100</v>
      </c>
      <c r="C968" s="2723"/>
      <c r="D968" s="2723"/>
      <c r="E968" s="2723"/>
      <c r="F968" s="1780"/>
      <c r="G968" s="1781">
        <f>SUM(F964:F968)</f>
        <v>8925</v>
      </c>
    </row>
    <row r="969" spans="1:7" ht="13.8" x14ac:dyDescent="0.25">
      <c r="A969" s="1775"/>
      <c r="B969" s="1782"/>
      <c r="C969" s="1782"/>
      <c r="D969" s="1782"/>
      <c r="E969" s="1782"/>
      <c r="F969" s="1777"/>
      <c r="G969" s="1782"/>
    </row>
    <row r="970" spans="1:7" ht="13.8" x14ac:dyDescent="0.25">
      <c r="A970" s="1775"/>
      <c r="B970" s="1782"/>
      <c r="C970" s="1782"/>
      <c r="D970" s="1782"/>
      <c r="E970" s="1782"/>
      <c r="F970" s="1777"/>
      <c r="G970" s="1782"/>
    </row>
    <row r="971" spans="1:7" ht="13.8" x14ac:dyDescent="0.25">
      <c r="A971" s="2716" t="s">
        <v>2127</v>
      </c>
      <c r="B971" s="2716"/>
      <c r="C971" s="2716"/>
      <c r="D971" s="2716"/>
      <c r="E971" s="2716"/>
      <c r="F971" s="2716"/>
      <c r="G971" s="1783">
        <f>G962+G968</f>
        <v>14239.106250000001</v>
      </c>
    </row>
    <row r="972" spans="1:7" ht="13.8" x14ac:dyDescent="0.25">
      <c r="A972" s="2716" t="s">
        <v>2128</v>
      </c>
      <c r="B972" s="2716"/>
      <c r="C972" s="2716"/>
      <c r="D972" s="2716"/>
      <c r="E972" s="2716"/>
      <c r="F972" s="2716"/>
      <c r="G972" s="1783">
        <f>G971/9.29</f>
        <v>1532.73479547901</v>
      </c>
    </row>
    <row r="973" spans="1:7" ht="13.8" x14ac:dyDescent="0.25">
      <c r="A973" s="2716" t="s">
        <v>2129</v>
      </c>
      <c r="B973" s="2716"/>
      <c r="C973" s="2716"/>
      <c r="D973" s="2716"/>
      <c r="E973" s="2716"/>
      <c r="F973" s="2716"/>
      <c r="G973" s="1825">
        <f>G972/10.76</f>
        <v>142.44747169879275</v>
      </c>
    </row>
    <row r="975" spans="1:7" ht="13.8" thickBot="1" x14ac:dyDescent="0.3"/>
    <row r="976" spans="1:7" ht="13.8" x14ac:dyDescent="0.25">
      <c r="A976" s="2717" t="s">
        <v>2236</v>
      </c>
      <c r="B976" s="2718"/>
      <c r="C976" s="2718"/>
      <c r="D976" s="2718"/>
      <c r="E976" s="2718"/>
      <c r="F976" s="2718"/>
      <c r="G976" s="2719"/>
    </row>
    <row r="977" spans="1:7" ht="14.4" thickBot="1" x14ac:dyDescent="0.3">
      <c r="A977" s="2720" t="s">
        <v>2093</v>
      </c>
      <c r="B977" s="2721"/>
      <c r="C977" s="2721"/>
      <c r="D977" s="2721"/>
      <c r="E977" s="2721"/>
      <c r="F977" s="2721"/>
      <c r="G977" s="2722"/>
    </row>
    <row r="978" spans="1:7" ht="14.4" thickBot="1" x14ac:dyDescent="0.3">
      <c r="A978" s="1773"/>
      <c r="B978" s="1774" t="s">
        <v>2094</v>
      </c>
      <c r="C978" s="1774" t="s">
        <v>2095</v>
      </c>
      <c r="D978" s="1774" t="s">
        <v>2</v>
      </c>
      <c r="E978" s="1774" t="s">
        <v>2096</v>
      </c>
      <c r="F978" s="1774" t="s">
        <v>5</v>
      </c>
      <c r="G978" s="1774" t="s">
        <v>2097</v>
      </c>
    </row>
    <row r="979" spans="1:7" ht="13.8" x14ac:dyDescent="0.25">
      <c r="A979" s="1775"/>
      <c r="B979" s="1775"/>
      <c r="C979" s="1776"/>
      <c r="D979" s="1777"/>
      <c r="E979" s="1777"/>
      <c r="F979" s="1777"/>
      <c r="G979" s="1777"/>
    </row>
    <row r="980" spans="1:7" ht="13.8" x14ac:dyDescent="0.25">
      <c r="A980" s="1775"/>
      <c r="B980" s="1778" t="s">
        <v>2111</v>
      </c>
      <c r="C980" s="1776"/>
      <c r="D980" s="1777"/>
      <c r="E980" s="1777"/>
      <c r="F980" s="1777"/>
      <c r="G980" s="1777"/>
    </row>
    <row r="981" spans="1:7" ht="13.8" x14ac:dyDescent="0.25">
      <c r="A981" s="1775"/>
      <c r="B981" s="1775"/>
      <c r="C981" s="1776"/>
      <c r="D981" s="1777"/>
      <c r="E981" s="1777"/>
      <c r="F981" s="1777"/>
      <c r="G981" s="1777"/>
    </row>
    <row r="982" spans="1:7" ht="13.8" x14ac:dyDescent="0.25">
      <c r="A982" s="1786"/>
      <c r="B982" s="1786" t="s">
        <v>2159</v>
      </c>
      <c r="C982" s="1761" t="s">
        <v>1945</v>
      </c>
      <c r="D982" s="1761">
        <v>2.5</v>
      </c>
      <c r="E982" s="1761">
        <f>F197</f>
        <v>2235.625</v>
      </c>
      <c r="F982" s="1761">
        <f>D982*E982</f>
        <v>5589.0625</v>
      </c>
      <c r="G982" s="1761"/>
    </row>
    <row r="983" spans="1:7" ht="13.8" x14ac:dyDescent="0.25">
      <c r="A983" s="1786"/>
      <c r="B983" s="1786" t="s">
        <v>1947</v>
      </c>
      <c r="C983" s="1761" t="s">
        <v>131</v>
      </c>
      <c r="D983" s="1761">
        <v>0.16</v>
      </c>
      <c r="E983" s="1761">
        <f>Material!E13</f>
        <v>23500</v>
      </c>
      <c r="F983" s="1761">
        <f>D983*E983</f>
        <v>3760</v>
      </c>
      <c r="G983" s="1761"/>
    </row>
    <row r="984" spans="1:7" ht="13.8" x14ac:dyDescent="0.25">
      <c r="A984" s="1788"/>
      <c r="B984" s="1788"/>
      <c r="C984" s="1789"/>
      <c r="D984" s="1789"/>
      <c r="E984" s="1789"/>
      <c r="F984" s="1789"/>
      <c r="G984" s="1789"/>
    </row>
    <row r="985" spans="1:7" ht="13.8" x14ac:dyDescent="0.25">
      <c r="A985" s="1775"/>
      <c r="B985" s="1776"/>
      <c r="C985" s="1777"/>
      <c r="D985" s="1777"/>
      <c r="E985" s="1777"/>
      <c r="F985" s="1777"/>
      <c r="G985" s="1777"/>
    </row>
    <row r="986" spans="1:7" ht="13.8" x14ac:dyDescent="0.25">
      <c r="A986" s="1775"/>
      <c r="B986" s="1775"/>
      <c r="C986" s="1776"/>
      <c r="D986" s="1777"/>
      <c r="E986" s="1777"/>
      <c r="F986" s="1777"/>
      <c r="G986" s="1777"/>
    </row>
    <row r="987" spans="1:7" ht="13.8" x14ac:dyDescent="0.25">
      <c r="A987" s="1779"/>
      <c r="B987" s="2723" t="s">
        <v>2112</v>
      </c>
      <c r="C987" s="2723"/>
      <c r="D987" s="2723"/>
      <c r="E987" s="2723"/>
      <c r="F987" s="1780"/>
      <c r="G987" s="1781">
        <f>SUM(F980:F987)</f>
        <v>9349.0625</v>
      </c>
    </row>
    <row r="988" spans="1:7" ht="13.8" x14ac:dyDescent="0.25">
      <c r="A988" s="1775"/>
      <c r="B988" s="1778" t="s">
        <v>2098</v>
      </c>
      <c r="C988" s="1776"/>
      <c r="D988" s="1777"/>
      <c r="E988" s="1777"/>
      <c r="F988" s="1777">
        <f>D988*E988</f>
        <v>0</v>
      </c>
      <c r="G988" s="1777"/>
    </row>
    <row r="989" spans="1:7" ht="13.8" x14ac:dyDescent="0.25">
      <c r="A989" s="1786"/>
      <c r="B989" s="1786" t="s">
        <v>2106</v>
      </c>
      <c r="C989" s="1761" t="s">
        <v>2126</v>
      </c>
      <c r="D989" s="1761">
        <v>100</v>
      </c>
      <c r="E989" s="1761">
        <v>350</v>
      </c>
      <c r="F989" s="1761">
        <f>D989*E989</f>
        <v>35000</v>
      </c>
      <c r="G989" s="1761"/>
    </row>
    <row r="990" spans="1:7" ht="13.8" x14ac:dyDescent="0.25">
      <c r="A990" s="1775"/>
      <c r="B990" s="1775"/>
      <c r="C990" s="1777"/>
      <c r="D990" s="1777"/>
      <c r="E990" s="1777"/>
      <c r="F990" s="1777"/>
      <c r="G990" s="1777"/>
    </row>
    <row r="991" spans="1:7" ht="13.8" x14ac:dyDescent="0.25">
      <c r="A991" s="1775"/>
      <c r="B991" s="1775" t="s">
        <v>2232</v>
      </c>
      <c r="C991" s="1777"/>
      <c r="D991" s="1777"/>
      <c r="E991" s="1777"/>
      <c r="F991" s="1777">
        <f>F989*5%</f>
        <v>1750</v>
      </c>
      <c r="G991" s="1777"/>
    </row>
    <row r="992" spans="1:7" ht="13.8" x14ac:dyDescent="0.25">
      <c r="A992" s="1775"/>
      <c r="B992" s="1775"/>
      <c r="C992" s="1776"/>
      <c r="D992" s="1777"/>
      <c r="E992" s="1777"/>
      <c r="F992" s="1777"/>
      <c r="G992" s="1777"/>
    </row>
    <row r="993" spans="1:7" ht="13.8" x14ac:dyDescent="0.25">
      <c r="A993" s="1779"/>
      <c r="B993" s="2723" t="s">
        <v>2100</v>
      </c>
      <c r="C993" s="2723"/>
      <c r="D993" s="2723"/>
      <c r="E993" s="2723"/>
      <c r="F993" s="1780">
        <f>D993*E993</f>
        <v>0</v>
      </c>
      <c r="G993" s="1781">
        <f>SUM(F989:F993)</f>
        <v>36750</v>
      </c>
    </row>
    <row r="994" spans="1:7" ht="13.8" x14ac:dyDescent="0.25">
      <c r="A994" s="1775"/>
      <c r="B994" s="1782"/>
      <c r="C994" s="1782"/>
      <c r="D994" s="1782"/>
      <c r="E994" s="1782"/>
      <c r="F994" s="1777"/>
      <c r="G994" s="1782"/>
    </row>
    <row r="995" spans="1:7" ht="13.8" x14ac:dyDescent="0.25">
      <c r="A995" s="1775"/>
      <c r="B995" s="1782"/>
      <c r="C995" s="1782"/>
      <c r="D995" s="1782"/>
      <c r="E995" s="1782"/>
      <c r="F995" s="1777"/>
      <c r="G995" s="1782"/>
    </row>
    <row r="996" spans="1:7" ht="13.8" x14ac:dyDescent="0.25">
      <c r="A996" s="2716" t="s">
        <v>2127</v>
      </c>
      <c r="B996" s="2716"/>
      <c r="C996" s="2716"/>
      <c r="D996" s="2716"/>
      <c r="E996" s="2716"/>
      <c r="F996" s="2716"/>
      <c r="G996" s="1783">
        <f>G987+G993</f>
        <v>46099.0625</v>
      </c>
    </row>
    <row r="997" spans="1:7" ht="13.8" x14ac:dyDescent="0.25">
      <c r="A997" s="2716" t="s">
        <v>2128</v>
      </c>
      <c r="B997" s="2716"/>
      <c r="C997" s="2716"/>
      <c r="D997" s="2716"/>
      <c r="E997" s="2716"/>
      <c r="F997" s="2716"/>
      <c r="G997" s="1783">
        <f>G996/9.29</f>
        <v>4962.224165769645</v>
      </c>
    </row>
    <row r="998" spans="1:7" ht="13.8" x14ac:dyDescent="0.25">
      <c r="A998" s="2716" t="s">
        <v>2129</v>
      </c>
      <c r="B998" s="2716"/>
      <c r="C998" s="2716"/>
      <c r="D998" s="2716"/>
      <c r="E998" s="2716"/>
      <c r="F998" s="2716"/>
      <c r="G998" s="1825">
        <f>G997/10.76</f>
        <v>461.17324960684437</v>
      </c>
    </row>
    <row r="1000" spans="1:7" ht="13.8" thickBot="1" x14ac:dyDescent="0.3"/>
    <row r="1001" spans="1:7" ht="13.8" x14ac:dyDescent="0.25">
      <c r="A1001" s="2717" t="s">
        <v>2237</v>
      </c>
      <c r="B1001" s="2718"/>
      <c r="C1001" s="2718"/>
      <c r="D1001" s="2718"/>
      <c r="E1001" s="2718"/>
      <c r="F1001" s="2718"/>
      <c r="G1001" s="2719"/>
    </row>
    <row r="1002" spans="1:7" ht="14.4" thickBot="1" x14ac:dyDescent="0.3">
      <c r="A1002" s="2720" t="s">
        <v>2093</v>
      </c>
      <c r="B1002" s="2721"/>
      <c r="C1002" s="2721"/>
      <c r="D1002" s="2721"/>
      <c r="E1002" s="2721"/>
      <c r="F1002" s="2721"/>
      <c r="G1002" s="2722"/>
    </row>
    <row r="1003" spans="1:7" ht="14.4" thickBot="1" x14ac:dyDescent="0.3">
      <c r="A1003" s="1773"/>
      <c r="B1003" s="1774" t="s">
        <v>2094</v>
      </c>
      <c r="C1003" s="1774" t="s">
        <v>2095</v>
      </c>
      <c r="D1003" s="1774" t="s">
        <v>2</v>
      </c>
      <c r="E1003" s="1774" t="s">
        <v>2096</v>
      </c>
      <c r="F1003" s="1774" t="s">
        <v>5</v>
      </c>
      <c r="G1003" s="1774" t="s">
        <v>2097</v>
      </c>
    </row>
    <row r="1004" spans="1:7" ht="13.8" x14ac:dyDescent="0.25">
      <c r="A1004" s="1775"/>
      <c r="B1004" s="1775"/>
      <c r="C1004" s="1776"/>
      <c r="D1004" s="1777"/>
      <c r="E1004" s="1777"/>
      <c r="F1004" s="1777"/>
      <c r="G1004" s="1777"/>
    </row>
    <row r="1005" spans="1:7" ht="13.8" x14ac:dyDescent="0.25">
      <c r="A1005" s="1775"/>
      <c r="B1005" s="1778" t="s">
        <v>2111</v>
      </c>
      <c r="C1005" s="1776"/>
      <c r="D1005" s="1777"/>
      <c r="E1005" s="1777"/>
      <c r="F1005" s="1777"/>
      <c r="G1005" s="1777"/>
    </row>
    <row r="1006" spans="1:7" ht="13.8" x14ac:dyDescent="0.25">
      <c r="A1006" s="1775"/>
      <c r="B1006" s="1775"/>
      <c r="C1006" s="1776"/>
      <c r="D1006" s="1777"/>
      <c r="E1006" s="1777"/>
      <c r="F1006" s="1777"/>
      <c r="G1006" s="1777"/>
    </row>
    <row r="1007" spans="1:7" ht="13.8" x14ac:dyDescent="0.25">
      <c r="A1007" s="1786"/>
      <c r="B1007" s="1786" t="s">
        <v>2159</v>
      </c>
      <c r="C1007" s="1761" t="s">
        <v>1945</v>
      </c>
      <c r="D1007" s="1761">
        <v>0.95</v>
      </c>
      <c r="E1007" s="1761">
        <f>F197</f>
        <v>2235.625</v>
      </c>
      <c r="F1007" s="1761">
        <f>D1007*E1007</f>
        <v>2123.84375</v>
      </c>
      <c r="G1007" s="1761"/>
    </row>
    <row r="1008" spans="1:7" ht="13.8" x14ac:dyDescent="0.25">
      <c r="A1008" s="1786"/>
      <c r="B1008" s="1786" t="s">
        <v>1947</v>
      </c>
      <c r="C1008" s="1761" t="s">
        <v>131</v>
      </c>
      <c r="D1008" s="1761">
        <v>7.0000000000000007E-2</v>
      </c>
      <c r="E1008" s="1761">
        <f>Material!E13</f>
        <v>23500</v>
      </c>
      <c r="F1008" s="1761">
        <f>D1008*E1008</f>
        <v>1645.0000000000002</v>
      </c>
      <c r="G1008" s="1761"/>
    </row>
    <row r="1009" spans="1:7" ht="13.8" x14ac:dyDescent="0.25">
      <c r="A1009" s="1786"/>
      <c r="B1009" s="1753" t="s">
        <v>1975</v>
      </c>
      <c r="C1009" s="1761" t="s">
        <v>1974</v>
      </c>
      <c r="D1009" s="1761">
        <v>0.2</v>
      </c>
      <c r="E1009" s="1761">
        <f>Material!E158</f>
        <v>345</v>
      </c>
      <c r="F1009" s="1761">
        <f>D1009*E1009</f>
        <v>69</v>
      </c>
      <c r="G1009" s="1761"/>
    </row>
    <row r="1010" spans="1:7" ht="13.8" x14ac:dyDescent="0.25">
      <c r="A1010" s="1788"/>
      <c r="B1010" s="1788"/>
      <c r="C1010" s="1789"/>
      <c r="D1010" s="1789"/>
      <c r="E1010" s="1789"/>
      <c r="F1010" s="1789"/>
      <c r="G1010" s="1789"/>
    </row>
    <row r="1011" spans="1:7" ht="13.8" x14ac:dyDescent="0.25">
      <c r="A1011" s="1788"/>
      <c r="B1011" s="1788"/>
      <c r="C1011" s="1789"/>
      <c r="D1011" s="1789"/>
      <c r="E1011" s="1789"/>
      <c r="F1011" s="1789"/>
      <c r="G1011" s="1789"/>
    </row>
    <row r="1012" spans="1:7" ht="13.8" x14ac:dyDescent="0.25">
      <c r="A1012" s="1779"/>
      <c r="B1012" s="2723" t="s">
        <v>2112</v>
      </c>
      <c r="C1012" s="2723"/>
      <c r="D1012" s="2723"/>
      <c r="E1012" s="2723"/>
      <c r="F1012" s="1780"/>
      <c r="G1012" s="1781">
        <f>SUM(F1006:F1011)</f>
        <v>3837.84375</v>
      </c>
    </row>
    <row r="1013" spans="1:7" ht="13.8" x14ac:dyDescent="0.25">
      <c r="A1013" s="1775"/>
      <c r="B1013" s="1778" t="s">
        <v>2098</v>
      </c>
      <c r="C1013" s="1776"/>
      <c r="D1013" s="1777"/>
      <c r="E1013" s="1777"/>
      <c r="F1013" s="1777">
        <f>D1013*E1013</f>
        <v>0</v>
      </c>
      <c r="G1013" s="1777"/>
    </row>
    <row r="1014" spans="1:7" ht="13.8" x14ac:dyDescent="0.25">
      <c r="A1014" s="1775"/>
      <c r="B1014" s="1778"/>
      <c r="C1014" s="1776"/>
      <c r="D1014" s="1777"/>
      <c r="E1014" s="1777"/>
      <c r="F1014" s="1777"/>
      <c r="G1014" s="1777"/>
    </row>
    <row r="1015" spans="1:7" ht="13.8" x14ac:dyDescent="0.25">
      <c r="A1015" s="1786"/>
      <c r="B1015" s="1786" t="s">
        <v>2106</v>
      </c>
      <c r="C1015" s="1761" t="s">
        <v>2126</v>
      </c>
      <c r="D1015" s="1761">
        <v>100</v>
      </c>
      <c r="E1015" s="1761">
        <v>200</v>
      </c>
      <c r="F1015" s="1761">
        <f>D1015*E1015</f>
        <v>20000</v>
      </c>
      <c r="G1015" s="1761"/>
    </row>
    <row r="1016" spans="1:7" ht="13.8" x14ac:dyDescent="0.25">
      <c r="A1016" s="1775"/>
      <c r="B1016" s="1775"/>
      <c r="C1016" s="1777"/>
      <c r="D1016" s="1777"/>
      <c r="E1016" s="1777"/>
      <c r="F1016" s="1777"/>
      <c r="G1016" s="1777"/>
    </row>
    <row r="1017" spans="1:7" ht="13.8" x14ac:dyDescent="0.25">
      <c r="A1017" s="1775"/>
      <c r="B1017" s="1775" t="s">
        <v>2228</v>
      </c>
      <c r="C1017" s="1777"/>
      <c r="D1017" s="1777"/>
      <c r="E1017" s="1777"/>
      <c r="F1017" s="1777">
        <f>F1015*3%</f>
        <v>600</v>
      </c>
      <c r="G1017" s="1777"/>
    </row>
    <row r="1018" spans="1:7" ht="13.8" x14ac:dyDescent="0.25">
      <c r="A1018" s="1775"/>
      <c r="B1018" s="1775" t="s">
        <v>2232</v>
      </c>
      <c r="C1018" s="1777"/>
      <c r="D1018" s="1777"/>
      <c r="E1018" s="1777"/>
      <c r="F1018" s="1777">
        <f>F1015*5%</f>
        <v>1000</v>
      </c>
      <c r="G1018" s="1777"/>
    </row>
    <row r="1019" spans="1:7" ht="13.8" x14ac:dyDescent="0.25">
      <c r="A1019" s="1775"/>
      <c r="B1019" s="1775"/>
      <c r="C1019" s="1776"/>
      <c r="D1019" s="1777"/>
      <c r="E1019" s="1777"/>
      <c r="F1019" s="1777"/>
      <c r="G1019" s="1777"/>
    </row>
    <row r="1020" spans="1:7" ht="13.8" x14ac:dyDescent="0.25">
      <c r="A1020" s="1779"/>
      <c r="B1020" s="2723" t="s">
        <v>2100</v>
      </c>
      <c r="C1020" s="2723"/>
      <c r="D1020" s="2723"/>
      <c r="E1020" s="2723"/>
      <c r="F1020" s="1780">
        <f>D1020*E1020</f>
        <v>0</v>
      </c>
      <c r="G1020" s="1781">
        <f>SUM(F1015:F1020)</f>
        <v>21600</v>
      </c>
    </row>
    <row r="1021" spans="1:7" ht="13.8" x14ac:dyDescent="0.25">
      <c r="A1021" s="1775"/>
      <c r="B1021" s="1782"/>
      <c r="C1021" s="1782"/>
      <c r="D1021" s="1782"/>
      <c r="E1021" s="1782"/>
      <c r="F1021" s="1777"/>
      <c r="G1021" s="1782"/>
    </row>
    <row r="1022" spans="1:7" ht="13.8" x14ac:dyDescent="0.25">
      <c r="A1022" s="1775"/>
      <c r="B1022" s="1782"/>
      <c r="C1022" s="1782"/>
      <c r="D1022" s="1782"/>
      <c r="E1022" s="1782"/>
      <c r="F1022" s="1777"/>
      <c r="G1022" s="1782"/>
    </row>
    <row r="1023" spans="1:7" ht="13.8" x14ac:dyDescent="0.25">
      <c r="A1023" s="2716" t="s">
        <v>2127</v>
      </c>
      <c r="B1023" s="2716"/>
      <c r="C1023" s="2716"/>
      <c r="D1023" s="2716"/>
      <c r="E1023" s="2716"/>
      <c r="F1023" s="2716"/>
      <c r="G1023" s="1783">
        <f>G1012+G1020</f>
        <v>25437.84375</v>
      </c>
    </row>
    <row r="1024" spans="1:7" ht="13.8" x14ac:dyDescent="0.25">
      <c r="A1024" s="2716" t="s">
        <v>2128</v>
      </c>
      <c r="B1024" s="2716"/>
      <c r="C1024" s="2716"/>
      <c r="D1024" s="2716"/>
      <c r="E1024" s="2716"/>
      <c r="F1024" s="2716"/>
      <c r="G1024" s="1783">
        <f>G1023/9.29</f>
        <v>2738.1963132400433</v>
      </c>
    </row>
    <row r="1025" spans="1:7" ht="13.8" x14ac:dyDescent="0.25">
      <c r="A1025" s="2716" t="s">
        <v>2129</v>
      </c>
      <c r="B1025" s="2716"/>
      <c r="C1025" s="2716"/>
      <c r="D1025" s="2716"/>
      <c r="E1025" s="2716"/>
      <c r="F1025" s="2716"/>
      <c r="G1025" s="1783">
        <f>G1024/10.76</f>
        <v>254.47921126766201</v>
      </c>
    </row>
    <row r="1035" spans="1:7" x14ac:dyDescent="0.25">
      <c r="A1035" s="2733" t="s">
        <v>2238</v>
      </c>
      <c r="B1035" s="2733"/>
      <c r="C1035" s="2733"/>
      <c r="D1035" s="2733"/>
      <c r="E1035" s="2733"/>
      <c r="F1035" s="2733"/>
      <c r="G1035" s="2733"/>
    </row>
    <row r="1037" spans="1:7" ht="13.8" thickBot="1" x14ac:dyDescent="0.3"/>
    <row r="1038" spans="1:7" ht="13.8" x14ac:dyDescent="0.25">
      <c r="A1038" s="2717" t="s">
        <v>2239</v>
      </c>
      <c r="B1038" s="2718"/>
      <c r="C1038" s="2718"/>
      <c r="D1038" s="2718"/>
      <c r="E1038" s="2718"/>
      <c r="F1038" s="2718"/>
      <c r="G1038" s="2719"/>
    </row>
    <row r="1039" spans="1:7" ht="14.4" thickBot="1" x14ac:dyDescent="0.3">
      <c r="A1039" s="2720" t="s">
        <v>2093</v>
      </c>
      <c r="B1039" s="2721"/>
      <c r="C1039" s="2721"/>
      <c r="D1039" s="2721"/>
      <c r="E1039" s="2721"/>
      <c r="F1039" s="2721"/>
      <c r="G1039" s="2722"/>
    </row>
    <row r="1040" spans="1:7" ht="14.4" thickBot="1" x14ac:dyDescent="0.3">
      <c r="A1040" s="1773"/>
      <c r="B1040" s="1774" t="s">
        <v>2094</v>
      </c>
      <c r="C1040" s="1774" t="s">
        <v>2095</v>
      </c>
      <c r="D1040" s="1774" t="s">
        <v>2</v>
      </c>
      <c r="E1040" s="1774" t="s">
        <v>2096</v>
      </c>
      <c r="F1040" s="1774" t="s">
        <v>5</v>
      </c>
      <c r="G1040" s="1774" t="s">
        <v>2097</v>
      </c>
    </row>
    <row r="1041" spans="1:29" ht="13.8" x14ac:dyDescent="0.25">
      <c r="A1041" s="1775"/>
      <c r="B1041" s="1775"/>
      <c r="C1041" s="1776"/>
      <c r="D1041" s="1777"/>
      <c r="E1041" s="1777"/>
      <c r="F1041" s="1777"/>
      <c r="G1041" s="1777"/>
    </row>
    <row r="1042" spans="1:29" s="1809" customFormat="1" ht="13.8" x14ac:dyDescent="0.25">
      <c r="A1042" s="1775"/>
      <c r="B1042" s="1778" t="s">
        <v>2111</v>
      </c>
      <c r="C1042" s="1776"/>
      <c r="D1042" s="1777"/>
      <c r="E1042" s="1777"/>
      <c r="F1042" s="1777"/>
      <c r="G1042" s="1777"/>
      <c r="H1042" s="2014"/>
      <c r="I1042" s="2014"/>
      <c r="J1042" s="2014"/>
      <c r="P1042" s="1772"/>
      <c r="Q1042" s="1772"/>
      <c r="R1042" s="1772"/>
      <c r="S1042" s="1772"/>
      <c r="T1042" s="1772"/>
      <c r="U1042" s="1772"/>
      <c r="V1042" s="1772"/>
      <c r="W1042" s="1772"/>
      <c r="X1042" s="1772"/>
      <c r="Y1042" s="1772"/>
      <c r="Z1042" s="1772"/>
      <c r="AA1042" s="1772"/>
      <c r="AB1042" s="1772"/>
      <c r="AC1042" s="1772"/>
    </row>
    <row r="1043" spans="1:29" s="1809" customFormat="1" ht="13.8" x14ac:dyDescent="0.25">
      <c r="A1043" s="1775"/>
      <c r="B1043" s="1775"/>
      <c r="C1043" s="1776"/>
      <c r="D1043" s="1777"/>
      <c r="E1043" s="1777"/>
      <c r="F1043" s="1777"/>
      <c r="G1043" s="1777"/>
      <c r="H1043" s="2014"/>
      <c r="I1043" s="2014">
        <f>9.29*0.012</f>
        <v>0.11148</v>
      </c>
      <c r="J1043" s="2014">
        <f>I1043*1.3333</f>
        <v>0.14863628399999998</v>
      </c>
      <c r="P1043" s="1772"/>
      <c r="Q1043" s="1772"/>
      <c r="R1043" s="1772"/>
      <c r="S1043" s="1772"/>
      <c r="T1043" s="1772"/>
      <c r="U1043" s="1772"/>
      <c r="V1043" s="1772"/>
      <c r="W1043" s="1772"/>
      <c r="X1043" s="1772"/>
      <c r="Y1043" s="1772"/>
      <c r="Z1043" s="1772"/>
      <c r="AA1043" s="1772"/>
      <c r="AB1043" s="1772"/>
      <c r="AC1043" s="1772"/>
    </row>
    <row r="1044" spans="1:29" s="1809" customFormat="1" ht="13.8" x14ac:dyDescent="0.25">
      <c r="A1044" s="1788"/>
      <c r="B1044" s="1788" t="s">
        <v>2159</v>
      </c>
      <c r="C1044" s="1789" t="s">
        <v>1945</v>
      </c>
      <c r="D1044" s="1789">
        <v>1.07</v>
      </c>
      <c r="E1044" s="1789">
        <f>F197</f>
        <v>2235.625</v>
      </c>
      <c r="F1044" s="1789">
        <f>D1044*E1044</f>
        <v>2392.1187500000001</v>
      </c>
      <c r="G1044" s="1789"/>
      <c r="H1044" s="2014"/>
      <c r="I1044" s="2014"/>
      <c r="J1044" s="2014"/>
      <c r="P1044" s="1772"/>
      <c r="Q1044" s="1772"/>
      <c r="R1044" s="1772"/>
      <c r="S1044" s="1772"/>
      <c r="T1044" s="1772"/>
      <c r="U1044" s="1772"/>
      <c r="V1044" s="1772"/>
      <c r="W1044" s="1772"/>
      <c r="X1044" s="1772"/>
      <c r="Y1044" s="1772"/>
      <c r="Z1044" s="1772"/>
      <c r="AA1044" s="1772"/>
      <c r="AB1044" s="1772"/>
      <c r="AC1044" s="1772"/>
    </row>
    <row r="1045" spans="1:29" s="1809" customFormat="1" ht="13.8" x14ac:dyDescent="0.25">
      <c r="A1045" s="1788"/>
      <c r="B1045" s="1788" t="s">
        <v>1947</v>
      </c>
      <c r="C1045" s="1789" t="s">
        <v>131</v>
      </c>
      <c r="D1045" s="1789">
        <v>0.04</v>
      </c>
      <c r="E1045" s="1789">
        <f>Material!E13</f>
        <v>23500</v>
      </c>
      <c r="F1045" s="1789">
        <f t="shared" ref="F1045:F1047" si="100">D1045*E1045</f>
        <v>940</v>
      </c>
      <c r="G1045" s="1789"/>
      <c r="H1045" s="2014"/>
      <c r="I1045" s="2014">
        <f>J1043/4</f>
        <v>3.7159070999999995E-2</v>
      </c>
      <c r="J1045" s="2014"/>
      <c r="P1045" s="1772"/>
      <c r="Q1045" s="1772"/>
      <c r="R1045" s="1772"/>
      <c r="S1045" s="1772"/>
      <c r="T1045" s="1772"/>
      <c r="U1045" s="1772"/>
      <c r="V1045" s="1772"/>
      <c r="W1045" s="1772"/>
      <c r="X1045" s="1772"/>
      <c r="Y1045" s="1772"/>
      <c r="Z1045" s="1772"/>
      <c r="AA1045" s="1772"/>
      <c r="AB1045" s="1772"/>
      <c r="AC1045" s="1772"/>
    </row>
    <row r="1046" spans="1:29" s="1809" customFormat="1" ht="13.8" x14ac:dyDescent="0.25">
      <c r="A1046" s="1788"/>
      <c r="B1046" s="1817"/>
      <c r="C1046" s="1789"/>
      <c r="D1046" s="1789"/>
      <c r="E1046" s="1789"/>
      <c r="F1046" s="1789">
        <f t="shared" si="100"/>
        <v>0</v>
      </c>
      <c r="G1046" s="1789"/>
      <c r="H1046" s="2014"/>
      <c r="I1046" s="2014"/>
      <c r="J1046" s="2014"/>
      <c r="P1046" s="1772"/>
      <c r="Q1046" s="1772"/>
      <c r="R1046" s="1772"/>
      <c r="S1046" s="1772"/>
      <c r="T1046" s="1772"/>
      <c r="U1046" s="1772"/>
      <c r="V1046" s="1772"/>
      <c r="W1046" s="1772"/>
      <c r="X1046" s="1772"/>
      <c r="Y1046" s="1772"/>
      <c r="Z1046" s="1772"/>
      <c r="AA1046" s="1772"/>
      <c r="AB1046" s="1772"/>
      <c r="AC1046" s="1772"/>
    </row>
    <row r="1047" spans="1:29" s="1809" customFormat="1" ht="13.8" x14ac:dyDescent="0.25">
      <c r="A1047" s="1775"/>
      <c r="B1047" s="1776" t="s">
        <v>2331</v>
      </c>
      <c r="C1047" s="1777" t="s">
        <v>2206</v>
      </c>
      <c r="D1047" s="1777">
        <v>20</v>
      </c>
      <c r="E1047" s="1777">
        <v>200</v>
      </c>
      <c r="F1047" s="1789">
        <f t="shared" si="100"/>
        <v>4000</v>
      </c>
      <c r="G1047" s="1777"/>
      <c r="H1047" s="2014"/>
      <c r="I1047" s="2014">
        <f>I1045*1440</f>
        <v>53.509062239999992</v>
      </c>
      <c r="J1047" s="2014">
        <f>I1047/50</f>
        <v>1.0701812447999999</v>
      </c>
      <c r="P1047" s="1772"/>
      <c r="Q1047" s="1772"/>
      <c r="R1047" s="1772"/>
      <c r="S1047" s="1772"/>
      <c r="T1047" s="1772"/>
      <c r="U1047" s="1772"/>
      <c r="V1047" s="1772"/>
      <c r="W1047" s="1772"/>
      <c r="X1047" s="1772"/>
      <c r="Y1047" s="1772"/>
      <c r="Z1047" s="1772"/>
      <c r="AA1047" s="1772"/>
      <c r="AB1047" s="1772"/>
      <c r="AC1047" s="1772"/>
    </row>
    <row r="1048" spans="1:29" s="1809" customFormat="1" ht="13.8" x14ac:dyDescent="0.25">
      <c r="A1048" s="1775"/>
      <c r="B1048" s="1775"/>
      <c r="C1048" s="1776"/>
      <c r="D1048" s="1777"/>
      <c r="E1048" s="1777"/>
      <c r="F1048" s="1777"/>
      <c r="G1048" s="1777"/>
      <c r="H1048" s="2014"/>
      <c r="I1048" s="2014">
        <f>I1045*3</f>
        <v>0.11147721299999999</v>
      </c>
      <c r="J1048" s="2014">
        <f>I1048/2.83</f>
        <v>3.9391241342756178E-2</v>
      </c>
      <c r="P1048" s="1772"/>
      <c r="Q1048" s="1772"/>
      <c r="R1048" s="1772"/>
      <c r="S1048" s="1772"/>
      <c r="T1048" s="1772"/>
      <c r="U1048" s="1772"/>
      <c r="V1048" s="1772"/>
      <c r="W1048" s="1772"/>
      <c r="X1048" s="1772"/>
      <c r="Y1048" s="1772"/>
      <c r="Z1048" s="1772"/>
      <c r="AA1048" s="1772"/>
      <c r="AB1048" s="1772"/>
      <c r="AC1048" s="1772"/>
    </row>
    <row r="1049" spans="1:29" s="1809" customFormat="1" ht="13.8" x14ac:dyDescent="0.25">
      <c r="A1049" s="1779"/>
      <c r="B1049" s="2723" t="s">
        <v>2112</v>
      </c>
      <c r="C1049" s="2723"/>
      <c r="D1049" s="2723"/>
      <c r="E1049" s="2723"/>
      <c r="F1049" s="1780"/>
      <c r="G1049" s="1781">
        <f>SUM(F1041:F1049)</f>
        <v>7332.1187499999996</v>
      </c>
      <c r="H1049" s="2014"/>
      <c r="I1049" s="2014"/>
      <c r="J1049" s="2014"/>
      <c r="P1049" s="1772"/>
      <c r="Q1049" s="1772"/>
      <c r="R1049" s="1772"/>
      <c r="S1049" s="1772"/>
      <c r="T1049" s="1772"/>
      <c r="U1049" s="1772"/>
      <c r="V1049" s="1772"/>
      <c r="W1049" s="1772"/>
      <c r="X1049" s="1772"/>
      <c r="Y1049" s="1772"/>
      <c r="Z1049" s="1772"/>
      <c r="AA1049" s="1772"/>
      <c r="AB1049" s="1772"/>
      <c r="AC1049" s="1772"/>
    </row>
    <row r="1050" spans="1:29" s="1809" customFormat="1" ht="13.8" x14ac:dyDescent="0.25">
      <c r="A1050" s="1775"/>
      <c r="B1050" s="1778" t="s">
        <v>2098</v>
      </c>
      <c r="C1050" s="1776"/>
      <c r="D1050" s="1777"/>
      <c r="E1050" s="1777"/>
      <c r="F1050" s="1777"/>
      <c r="G1050" s="1777"/>
      <c r="H1050" s="2014"/>
      <c r="I1050" s="2014"/>
      <c r="J1050" s="2014">
        <f>10850*1.15</f>
        <v>12477.499999999998</v>
      </c>
      <c r="K1050" s="1809">
        <f>J1050/20</f>
        <v>623.87499999999989</v>
      </c>
      <c r="P1050" s="1772"/>
      <c r="Q1050" s="1772"/>
      <c r="R1050" s="1772"/>
      <c r="S1050" s="1772"/>
      <c r="T1050" s="1772"/>
      <c r="U1050" s="1772"/>
      <c r="V1050" s="1772"/>
      <c r="W1050" s="1772"/>
      <c r="X1050" s="1772"/>
      <c r="Y1050" s="1772"/>
      <c r="Z1050" s="1772"/>
      <c r="AA1050" s="1772"/>
      <c r="AB1050" s="1772"/>
      <c r="AC1050" s="1772"/>
    </row>
    <row r="1051" spans="1:29" s="1809" customFormat="1" ht="13.8" x14ac:dyDescent="0.25">
      <c r="A1051" s="1788"/>
      <c r="B1051" s="1788" t="s">
        <v>2106</v>
      </c>
      <c r="C1051" s="1789" t="s">
        <v>2126</v>
      </c>
      <c r="D1051" s="1789">
        <v>100</v>
      </c>
      <c r="E1051" s="1789">
        <v>40</v>
      </c>
      <c r="F1051" s="1789">
        <f>D1051*E1051</f>
        <v>4000</v>
      </c>
      <c r="G1051" s="1789"/>
      <c r="H1051" s="2014"/>
      <c r="I1051" s="2014"/>
      <c r="J1051" s="2014"/>
      <c r="P1051" s="1772"/>
      <c r="Q1051" s="1772"/>
      <c r="R1051" s="1772"/>
      <c r="S1051" s="1772"/>
      <c r="T1051" s="1772"/>
      <c r="U1051" s="1772"/>
      <c r="V1051" s="1772"/>
      <c r="W1051" s="1772"/>
      <c r="X1051" s="1772"/>
      <c r="Y1051" s="1772"/>
      <c r="Z1051" s="1772"/>
      <c r="AA1051" s="1772"/>
      <c r="AB1051" s="1772"/>
      <c r="AC1051" s="1772"/>
    </row>
    <row r="1052" spans="1:29" s="1809" customFormat="1" ht="13.8" x14ac:dyDescent="0.25">
      <c r="A1052" s="1775"/>
      <c r="B1052" s="1775"/>
      <c r="C1052" s="1777"/>
      <c r="D1052" s="1777"/>
      <c r="E1052" s="1777"/>
      <c r="F1052" s="1777"/>
      <c r="G1052" s="1777"/>
      <c r="H1052" s="2014"/>
      <c r="I1052" s="2014"/>
      <c r="J1052" s="2014"/>
      <c r="P1052" s="1772"/>
      <c r="Q1052" s="1772"/>
      <c r="R1052" s="1772"/>
      <c r="S1052" s="1772"/>
      <c r="T1052" s="1772"/>
      <c r="U1052" s="1772"/>
      <c r="V1052" s="1772"/>
      <c r="W1052" s="1772"/>
      <c r="X1052" s="1772"/>
      <c r="Y1052" s="1772"/>
      <c r="Z1052" s="1772"/>
      <c r="AA1052" s="1772"/>
      <c r="AB1052" s="1772"/>
      <c r="AC1052" s="1772"/>
    </row>
    <row r="1053" spans="1:29" s="1809" customFormat="1" ht="13.8" x14ac:dyDescent="0.25">
      <c r="A1053" s="1775"/>
      <c r="B1053" s="1775"/>
      <c r="C1053" s="1777"/>
      <c r="D1053" s="1777"/>
      <c r="E1053" s="1777"/>
      <c r="F1053" s="1777"/>
      <c r="G1053" s="1777"/>
      <c r="H1053" s="2014"/>
      <c r="I1053" s="2014"/>
      <c r="J1053" s="2014"/>
      <c r="P1053" s="1772"/>
      <c r="Q1053" s="1772"/>
      <c r="R1053" s="1772"/>
      <c r="S1053" s="1772"/>
      <c r="T1053" s="1772"/>
      <c r="U1053" s="1772"/>
      <c r="V1053" s="1772"/>
      <c r="W1053" s="1772"/>
      <c r="X1053" s="1772"/>
      <c r="Y1053" s="1772"/>
      <c r="Z1053" s="1772"/>
      <c r="AA1053" s="1772"/>
      <c r="AB1053" s="1772"/>
      <c r="AC1053" s="1772"/>
    </row>
    <row r="1054" spans="1:29" s="1809" customFormat="1" ht="13.8" x14ac:dyDescent="0.25">
      <c r="A1054" s="1775"/>
      <c r="B1054" s="1775"/>
      <c r="C1054" s="1776"/>
      <c r="D1054" s="1777"/>
      <c r="E1054" s="1777"/>
      <c r="F1054" s="1777"/>
      <c r="G1054" s="1777"/>
      <c r="H1054" s="2014"/>
      <c r="I1054" s="2014"/>
      <c r="J1054" s="2014"/>
      <c r="P1054" s="1772"/>
      <c r="Q1054" s="1772"/>
      <c r="R1054" s="1772"/>
      <c r="S1054" s="1772"/>
      <c r="T1054" s="1772"/>
      <c r="U1054" s="1772"/>
      <c r="V1054" s="1772"/>
      <c r="W1054" s="1772"/>
      <c r="X1054" s="1772"/>
      <c r="Y1054" s="1772"/>
      <c r="Z1054" s="1772"/>
      <c r="AA1054" s="1772"/>
      <c r="AB1054" s="1772"/>
      <c r="AC1054" s="1772"/>
    </row>
    <row r="1055" spans="1:29" s="1809" customFormat="1" ht="13.8" x14ac:dyDescent="0.25">
      <c r="A1055" s="1779"/>
      <c r="B1055" s="2723" t="s">
        <v>2100</v>
      </c>
      <c r="C1055" s="2723"/>
      <c r="D1055" s="2723"/>
      <c r="E1055" s="2723"/>
      <c r="F1055" s="1780">
        <f>D1055*E1055</f>
        <v>0</v>
      </c>
      <c r="G1055" s="1781">
        <f>SUM(F1051:F1055)</f>
        <v>4000</v>
      </c>
      <c r="H1055" s="2014"/>
      <c r="I1055" s="2014"/>
      <c r="J1055" s="2014"/>
      <c r="P1055" s="1772"/>
      <c r="Q1055" s="1772"/>
      <c r="R1055" s="1772"/>
      <c r="S1055" s="1772"/>
      <c r="T1055" s="1772"/>
      <c r="U1055" s="1772"/>
      <c r="V1055" s="1772"/>
      <c r="W1055" s="1772"/>
      <c r="X1055" s="1772"/>
      <c r="Y1055" s="1772"/>
      <c r="Z1055" s="1772"/>
      <c r="AA1055" s="1772"/>
      <c r="AB1055" s="1772"/>
      <c r="AC1055" s="1772"/>
    </row>
    <row r="1056" spans="1:29" s="1809" customFormat="1" ht="13.8" x14ac:dyDescent="0.25">
      <c r="A1056" s="1775"/>
      <c r="B1056" s="1782"/>
      <c r="C1056" s="1782"/>
      <c r="D1056" s="1782"/>
      <c r="E1056" s="1782"/>
      <c r="F1056" s="1777"/>
      <c r="G1056" s="1782"/>
      <c r="H1056" s="2014"/>
      <c r="I1056" s="2014"/>
      <c r="J1056" s="2014"/>
      <c r="P1056" s="1772"/>
      <c r="Q1056" s="1772"/>
      <c r="R1056" s="1772"/>
      <c r="S1056" s="1772"/>
      <c r="T1056" s="1772"/>
      <c r="U1056" s="1772"/>
      <c r="V1056" s="1772"/>
      <c r="W1056" s="1772"/>
      <c r="X1056" s="1772"/>
      <c r="Y1056" s="1772"/>
      <c r="Z1056" s="1772"/>
      <c r="AA1056" s="1772"/>
      <c r="AB1056" s="1772"/>
      <c r="AC1056" s="1772"/>
    </row>
    <row r="1057" spans="1:29" s="1809" customFormat="1" ht="13.8" x14ac:dyDescent="0.25">
      <c r="A1057" s="1775"/>
      <c r="B1057" s="1782"/>
      <c r="C1057" s="1782"/>
      <c r="D1057" s="1782"/>
      <c r="E1057" s="1782"/>
      <c r="F1057" s="1777"/>
      <c r="G1057" s="1782"/>
      <c r="H1057" s="2014"/>
      <c r="I1057" s="2014"/>
      <c r="J1057" s="2014"/>
      <c r="P1057" s="1772"/>
      <c r="Q1057" s="1772"/>
      <c r="R1057" s="1772"/>
      <c r="S1057" s="1772"/>
      <c r="T1057" s="1772"/>
      <c r="U1057" s="1772"/>
      <c r="V1057" s="1772"/>
      <c r="W1057" s="1772"/>
      <c r="X1057" s="1772"/>
      <c r="Y1057" s="1772"/>
      <c r="Z1057" s="1772"/>
      <c r="AA1057" s="1772"/>
      <c r="AB1057" s="1772"/>
      <c r="AC1057" s="1772"/>
    </row>
    <row r="1058" spans="1:29" ht="13.8" x14ac:dyDescent="0.25">
      <c r="A1058" s="2716" t="s">
        <v>2127</v>
      </c>
      <c r="B1058" s="2716"/>
      <c r="C1058" s="2716"/>
      <c r="D1058" s="2716"/>
      <c r="E1058" s="2716"/>
      <c r="F1058" s="2716"/>
      <c r="G1058" s="1783">
        <f>G1049+G1055</f>
        <v>11332.11875</v>
      </c>
    </row>
    <row r="1059" spans="1:29" ht="13.8" x14ac:dyDescent="0.25">
      <c r="A1059" s="2716" t="s">
        <v>2128</v>
      </c>
      <c r="B1059" s="2716"/>
      <c r="C1059" s="2716"/>
      <c r="D1059" s="2716"/>
      <c r="E1059" s="2716"/>
      <c r="F1059" s="2716"/>
      <c r="G1059" s="1783">
        <f>G1058/9.29</f>
        <v>1219.8190258342304</v>
      </c>
    </row>
    <row r="1060" spans="1:29" ht="13.8" x14ac:dyDescent="0.25">
      <c r="A1060" s="2716" t="s">
        <v>2129</v>
      </c>
      <c r="B1060" s="2716"/>
      <c r="C1060" s="2716"/>
      <c r="D1060" s="2716"/>
      <c r="E1060" s="2716"/>
      <c r="F1060" s="2716"/>
      <c r="G1060" s="1783">
        <f>G1059/10.76</f>
        <v>113.36608046786527</v>
      </c>
    </row>
    <row r="1070" spans="1:29" ht="13.8" thickBot="1" x14ac:dyDescent="0.3"/>
    <row r="1071" spans="1:29" ht="13.8" x14ac:dyDescent="0.25">
      <c r="A1071" s="2717" t="s">
        <v>2241</v>
      </c>
      <c r="B1071" s="2718"/>
      <c r="C1071" s="2718"/>
      <c r="D1071" s="2718"/>
      <c r="E1071" s="2718"/>
      <c r="F1071" s="2718"/>
      <c r="G1071" s="2719"/>
    </row>
    <row r="1072" spans="1:29" ht="14.4" thickBot="1" x14ac:dyDescent="0.3">
      <c r="A1072" s="2720" t="s">
        <v>2093</v>
      </c>
      <c r="B1072" s="2721"/>
      <c r="C1072" s="2721"/>
      <c r="D1072" s="2721"/>
      <c r="E1072" s="2721"/>
      <c r="F1072" s="2721"/>
      <c r="G1072" s="2722"/>
    </row>
    <row r="1073" spans="1:29" ht="14.4" thickBot="1" x14ac:dyDescent="0.3">
      <c r="A1073" s="1773"/>
      <c r="B1073" s="1774" t="s">
        <v>2094</v>
      </c>
      <c r="C1073" s="1774" t="s">
        <v>2095</v>
      </c>
      <c r="D1073" s="1774" t="s">
        <v>2</v>
      </c>
      <c r="E1073" s="1774" t="s">
        <v>2096</v>
      </c>
      <c r="F1073" s="1774" t="s">
        <v>5</v>
      </c>
      <c r="G1073" s="1774" t="s">
        <v>2097</v>
      </c>
    </row>
    <row r="1074" spans="1:29" s="1809" customFormat="1" ht="13.8" x14ac:dyDescent="0.25">
      <c r="A1074" s="1775"/>
      <c r="B1074" s="1775"/>
      <c r="C1074" s="1776"/>
      <c r="D1074" s="1777"/>
      <c r="E1074" s="1777"/>
      <c r="F1074" s="1777"/>
      <c r="G1074" s="1777"/>
      <c r="H1074" s="2014"/>
      <c r="I1074" s="2014"/>
      <c r="J1074" s="2014"/>
      <c r="P1074" s="1772"/>
      <c r="Q1074" s="1772"/>
      <c r="R1074" s="1772"/>
      <c r="S1074" s="1772"/>
      <c r="T1074" s="1772"/>
      <c r="U1074" s="1772"/>
      <c r="V1074" s="1772"/>
      <c r="W1074" s="1772"/>
      <c r="X1074" s="1772"/>
      <c r="Y1074" s="1772"/>
      <c r="Z1074" s="1772"/>
      <c r="AA1074" s="1772"/>
      <c r="AB1074" s="1772"/>
      <c r="AC1074" s="1772"/>
    </row>
    <row r="1075" spans="1:29" s="1809" customFormat="1" ht="13.8" x14ac:dyDescent="0.25">
      <c r="A1075" s="1775"/>
      <c r="B1075" s="1778" t="s">
        <v>2111</v>
      </c>
      <c r="C1075" s="1776"/>
      <c r="D1075" s="1777"/>
      <c r="E1075" s="1777"/>
      <c r="F1075" s="1777"/>
      <c r="G1075" s="1777"/>
      <c r="H1075" s="2014"/>
      <c r="I1075" s="2014"/>
      <c r="J1075" s="2014"/>
      <c r="P1075" s="1772"/>
      <c r="Q1075" s="1772"/>
      <c r="R1075" s="1772"/>
      <c r="S1075" s="1772"/>
      <c r="T1075" s="1772"/>
      <c r="U1075" s="1772"/>
      <c r="V1075" s="1772"/>
      <c r="W1075" s="1772"/>
      <c r="X1075" s="1772"/>
      <c r="Y1075" s="1772"/>
      <c r="Z1075" s="1772"/>
      <c r="AA1075" s="1772"/>
      <c r="AB1075" s="1772"/>
      <c r="AC1075" s="1772"/>
    </row>
    <row r="1076" spans="1:29" s="1809" customFormat="1" ht="13.8" x14ac:dyDescent="0.25">
      <c r="A1076" s="1775"/>
      <c r="B1076" s="1775"/>
      <c r="C1076" s="1776"/>
      <c r="D1076" s="1777"/>
      <c r="E1076" s="1777"/>
      <c r="F1076" s="1777"/>
      <c r="G1076" s="1777"/>
      <c r="H1076" s="2014"/>
      <c r="I1076" s="2014">
        <f>9.29*0.02</f>
        <v>0.18579999999999999</v>
      </c>
      <c r="J1076" s="2014">
        <f>I1076*1.3333</f>
        <v>0.24772713999999998</v>
      </c>
      <c r="P1076" s="1772"/>
      <c r="Q1076" s="1772"/>
      <c r="R1076" s="1772"/>
      <c r="S1076" s="1772"/>
      <c r="T1076" s="1772"/>
      <c r="U1076" s="1772"/>
      <c r="V1076" s="1772"/>
      <c r="W1076" s="1772"/>
      <c r="X1076" s="1772"/>
      <c r="Y1076" s="1772"/>
      <c r="Z1076" s="1772"/>
      <c r="AA1076" s="1772"/>
      <c r="AB1076" s="1772"/>
      <c r="AC1076" s="1772"/>
    </row>
    <row r="1077" spans="1:29" s="1809" customFormat="1" ht="13.8" x14ac:dyDescent="0.25">
      <c r="A1077" s="1788"/>
      <c r="B1077" s="1788" t="s">
        <v>2159</v>
      </c>
      <c r="C1077" s="1789" t="s">
        <v>1945</v>
      </c>
      <c r="D1077" s="1789">
        <v>1.78</v>
      </c>
      <c r="E1077" s="1789">
        <f>F197</f>
        <v>2235.625</v>
      </c>
      <c r="F1077" s="1789">
        <f>D1077*E1077</f>
        <v>3979.4124999999999</v>
      </c>
      <c r="G1077" s="1789"/>
      <c r="H1077" s="2014"/>
      <c r="I1077" s="2014"/>
      <c r="J1077" s="2014"/>
      <c r="P1077" s="1772"/>
      <c r="Q1077" s="1772"/>
      <c r="R1077" s="1772"/>
      <c r="S1077" s="1772"/>
      <c r="T1077" s="1772"/>
      <c r="U1077" s="1772"/>
      <c r="V1077" s="1772"/>
      <c r="W1077" s="1772"/>
      <c r="X1077" s="1772"/>
      <c r="Y1077" s="1772"/>
      <c r="Z1077" s="1772"/>
      <c r="AA1077" s="1772"/>
      <c r="AB1077" s="1772"/>
      <c r="AC1077" s="1772"/>
    </row>
    <row r="1078" spans="1:29" s="1809" customFormat="1" ht="13.8" x14ac:dyDescent="0.25">
      <c r="A1078" s="1788"/>
      <c r="B1078" s="1788" t="s">
        <v>1947</v>
      </c>
      <c r="C1078" s="1789" t="s">
        <v>131</v>
      </c>
      <c r="D1078" s="1789">
        <v>7.0000000000000007E-2</v>
      </c>
      <c r="E1078" s="1789">
        <f>Material!E13</f>
        <v>23500</v>
      </c>
      <c r="F1078" s="1789">
        <f>D1078*E1078</f>
        <v>1645.0000000000002</v>
      </c>
      <c r="G1078" s="1789"/>
      <c r="H1078" s="2014"/>
      <c r="I1078" s="2014">
        <f>J1076/4</f>
        <v>6.1931784999999996E-2</v>
      </c>
      <c r="J1078" s="2014"/>
      <c r="P1078" s="1772"/>
      <c r="Q1078" s="1772"/>
      <c r="R1078" s="1772"/>
      <c r="S1078" s="1772"/>
      <c r="T1078" s="1772"/>
      <c r="U1078" s="1772"/>
      <c r="V1078" s="1772"/>
      <c r="W1078" s="1772"/>
      <c r="X1078" s="1772"/>
      <c r="Y1078" s="1772"/>
      <c r="Z1078" s="1772"/>
      <c r="AA1078" s="1772"/>
      <c r="AB1078" s="1772"/>
      <c r="AC1078" s="1772"/>
    </row>
    <row r="1079" spans="1:29" s="1809" customFormat="1" ht="13.8" x14ac:dyDescent="0.25">
      <c r="A1079" s="1788"/>
      <c r="B1079" s="1817"/>
      <c r="C1079" s="1789"/>
      <c r="D1079" s="1789"/>
      <c r="E1079" s="1789"/>
      <c r="F1079" s="1789"/>
      <c r="G1079" s="1789"/>
      <c r="H1079" s="2014"/>
      <c r="I1079" s="2014"/>
      <c r="J1079" s="2014"/>
      <c r="P1079" s="1772"/>
      <c r="Q1079" s="1772"/>
      <c r="R1079" s="1772"/>
      <c r="S1079" s="1772"/>
      <c r="T1079" s="1772"/>
      <c r="U1079" s="1772"/>
      <c r="V1079" s="1772"/>
      <c r="W1079" s="1772"/>
      <c r="X1079" s="1772"/>
      <c r="Y1079" s="1772"/>
      <c r="Z1079" s="1772"/>
      <c r="AA1079" s="1772"/>
      <c r="AB1079" s="1772"/>
      <c r="AC1079" s="1772"/>
    </row>
    <row r="1080" spans="1:29" s="1809" customFormat="1" ht="13.8" x14ac:dyDescent="0.25">
      <c r="A1080" s="1775"/>
      <c r="B1080" s="1776"/>
      <c r="C1080" s="1777"/>
      <c r="D1080" s="1777"/>
      <c r="E1080" s="1777"/>
      <c r="F1080" s="1789"/>
      <c r="G1080" s="1777"/>
      <c r="H1080" s="2014"/>
      <c r="I1080" s="2014">
        <f>I1078*1440</f>
        <v>89.181770399999991</v>
      </c>
      <c r="J1080" s="2014">
        <f>I1080/50</f>
        <v>1.7836354079999999</v>
      </c>
      <c r="P1080" s="1772"/>
      <c r="Q1080" s="1772"/>
      <c r="R1080" s="1772"/>
      <c r="S1080" s="1772"/>
      <c r="T1080" s="1772"/>
      <c r="U1080" s="1772"/>
      <c r="V1080" s="1772"/>
      <c r="W1080" s="1772"/>
      <c r="X1080" s="1772"/>
      <c r="Y1080" s="1772"/>
      <c r="Z1080" s="1772"/>
      <c r="AA1080" s="1772"/>
      <c r="AB1080" s="1772"/>
      <c r="AC1080" s="1772"/>
    </row>
    <row r="1081" spans="1:29" s="1809" customFormat="1" ht="13.8" x14ac:dyDescent="0.25">
      <c r="A1081" s="1775"/>
      <c r="B1081" s="1775"/>
      <c r="C1081" s="1776"/>
      <c r="D1081" s="1777"/>
      <c r="E1081" s="1777"/>
      <c r="F1081" s="1777"/>
      <c r="G1081" s="1777"/>
      <c r="H1081" s="2014"/>
      <c r="I1081" s="2014">
        <f>I1078*3</f>
        <v>0.185795355</v>
      </c>
      <c r="J1081" s="2014">
        <f>I1081/2.83</f>
        <v>6.565206890459363E-2</v>
      </c>
      <c r="P1081" s="1772"/>
      <c r="Q1081" s="1772"/>
      <c r="R1081" s="1772"/>
      <c r="S1081" s="1772"/>
      <c r="T1081" s="1772"/>
      <c r="U1081" s="1772"/>
      <c r="V1081" s="1772"/>
      <c r="W1081" s="1772"/>
      <c r="X1081" s="1772"/>
      <c r="Y1081" s="1772"/>
      <c r="Z1081" s="1772"/>
      <c r="AA1081" s="1772"/>
      <c r="AB1081" s="1772"/>
      <c r="AC1081" s="1772"/>
    </row>
    <row r="1082" spans="1:29" s="1809" customFormat="1" ht="13.8" x14ac:dyDescent="0.25">
      <c r="A1082" s="1779"/>
      <c r="B1082" s="2723" t="s">
        <v>2112</v>
      </c>
      <c r="C1082" s="2723"/>
      <c r="D1082" s="2723"/>
      <c r="E1082" s="2723"/>
      <c r="F1082" s="1780"/>
      <c r="G1082" s="1781">
        <f>SUM(F1074:F1082)</f>
        <v>5624.4125000000004</v>
      </c>
      <c r="H1082" s="2014"/>
      <c r="I1082" s="2014"/>
      <c r="J1082" s="2014"/>
      <c r="P1082" s="1772"/>
      <c r="Q1082" s="1772"/>
      <c r="R1082" s="1772"/>
      <c r="S1082" s="1772"/>
      <c r="T1082" s="1772"/>
      <c r="U1082" s="1772"/>
      <c r="V1082" s="1772"/>
      <c r="W1082" s="1772"/>
      <c r="X1082" s="1772"/>
      <c r="Y1082" s="1772"/>
      <c r="Z1082" s="1772"/>
      <c r="AA1082" s="1772"/>
      <c r="AB1082" s="1772"/>
      <c r="AC1082" s="1772"/>
    </row>
    <row r="1083" spans="1:29" s="1809" customFormat="1" ht="13.8" x14ac:dyDescent="0.25">
      <c r="A1083" s="1775"/>
      <c r="B1083" s="1778" t="s">
        <v>2098</v>
      </c>
      <c r="C1083" s="1776"/>
      <c r="D1083" s="1777"/>
      <c r="E1083" s="1777"/>
      <c r="F1083" s="1777"/>
      <c r="G1083" s="1777"/>
      <c r="H1083" s="2014"/>
      <c r="I1083" s="2014"/>
      <c r="J1083" s="2014">
        <f>10850*1.15</f>
        <v>12477.499999999998</v>
      </c>
      <c r="K1083" s="1809">
        <f>J1083/20</f>
        <v>623.87499999999989</v>
      </c>
      <c r="P1083" s="1772"/>
      <c r="Q1083" s="1772"/>
      <c r="R1083" s="1772"/>
      <c r="S1083" s="1772"/>
      <c r="T1083" s="1772"/>
      <c r="U1083" s="1772"/>
      <c r="V1083" s="1772"/>
      <c r="W1083" s="1772"/>
      <c r="X1083" s="1772"/>
      <c r="Y1083" s="1772"/>
      <c r="Z1083" s="1772"/>
      <c r="AA1083" s="1772"/>
      <c r="AB1083" s="1772"/>
      <c r="AC1083" s="1772"/>
    </row>
    <row r="1084" spans="1:29" s="1809" customFormat="1" ht="13.8" x14ac:dyDescent="0.25">
      <c r="A1084" s="1788"/>
      <c r="B1084" s="1788" t="s">
        <v>2240</v>
      </c>
      <c r="C1084" s="1789" t="s">
        <v>2126</v>
      </c>
      <c r="D1084" s="1789">
        <v>100</v>
      </c>
      <c r="E1084" s="1789">
        <v>100</v>
      </c>
      <c r="F1084" s="1789">
        <f>D1084*E1084</f>
        <v>10000</v>
      </c>
      <c r="G1084" s="1789"/>
      <c r="H1084" s="2014"/>
      <c r="I1084" s="2014"/>
      <c r="J1084" s="2014"/>
      <c r="P1084" s="1772"/>
      <c r="Q1084" s="1772"/>
      <c r="R1084" s="1772"/>
      <c r="S1084" s="1772"/>
      <c r="T1084" s="1772"/>
      <c r="U1084" s="1772"/>
      <c r="V1084" s="1772"/>
      <c r="W1084" s="1772"/>
      <c r="X1084" s="1772"/>
      <c r="Y1084" s="1772"/>
      <c r="Z1084" s="1772"/>
      <c r="AA1084" s="1772"/>
      <c r="AB1084" s="1772"/>
      <c r="AC1084" s="1772"/>
    </row>
    <row r="1085" spans="1:29" s="1809" customFormat="1" ht="13.8" x14ac:dyDescent="0.25">
      <c r="A1085" s="1775"/>
      <c r="B1085" s="1775"/>
      <c r="C1085" s="1777"/>
      <c r="D1085" s="1777"/>
      <c r="E1085" s="1777"/>
      <c r="F1085" s="1777"/>
      <c r="G1085" s="1777"/>
      <c r="H1085" s="2014"/>
      <c r="I1085" s="2014"/>
      <c r="J1085" s="2014"/>
      <c r="P1085" s="1772"/>
      <c r="Q1085" s="1772"/>
      <c r="R1085" s="1772"/>
      <c r="S1085" s="1772"/>
      <c r="T1085" s="1772"/>
      <c r="U1085" s="1772"/>
      <c r="V1085" s="1772"/>
      <c r="W1085" s="1772"/>
      <c r="X1085" s="1772"/>
      <c r="Y1085" s="1772"/>
      <c r="Z1085" s="1772"/>
      <c r="AA1085" s="1772"/>
      <c r="AB1085" s="1772"/>
      <c r="AC1085" s="1772"/>
    </row>
    <row r="1086" spans="1:29" s="1809" customFormat="1" ht="13.8" x14ac:dyDescent="0.25">
      <c r="A1086" s="1775"/>
      <c r="B1086" s="1775"/>
      <c r="C1086" s="1777"/>
      <c r="D1086" s="1777"/>
      <c r="E1086" s="1777"/>
      <c r="F1086" s="1777"/>
      <c r="G1086" s="1777"/>
      <c r="H1086" s="2014"/>
      <c r="I1086" s="2014"/>
      <c r="J1086" s="2014"/>
      <c r="P1086" s="1772"/>
      <c r="Q1086" s="1772"/>
      <c r="R1086" s="1772"/>
      <c r="S1086" s="1772"/>
      <c r="T1086" s="1772"/>
      <c r="U1086" s="1772"/>
      <c r="V1086" s="1772"/>
      <c r="W1086" s="1772"/>
      <c r="X1086" s="1772"/>
      <c r="Y1086" s="1772"/>
      <c r="Z1086" s="1772"/>
      <c r="AA1086" s="1772"/>
      <c r="AB1086" s="1772"/>
      <c r="AC1086" s="1772"/>
    </row>
    <row r="1087" spans="1:29" s="1809" customFormat="1" ht="13.8" x14ac:dyDescent="0.25">
      <c r="A1087" s="1775"/>
      <c r="B1087" s="1775"/>
      <c r="C1087" s="1776"/>
      <c r="D1087" s="1777"/>
      <c r="E1087" s="1777"/>
      <c r="F1087" s="1777"/>
      <c r="G1087" s="1777"/>
      <c r="H1087" s="2014"/>
      <c r="I1087" s="2014"/>
      <c r="J1087" s="2014"/>
      <c r="P1087" s="1772"/>
      <c r="Q1087" s="1772"/>
      <c r="R1087" s="1772"/>
      <c r="S1087" s="1772"/>
      <c r="T1087" s="1772"/>
      <c r="U1087" s="1772"/>
      <c r="V1087" s="1772"/>
      <c r="W1087" s="1772"/>
      <c r="X1087" s="1772"/>
      <c r="Y1087" s="1772"/>
      <c r="Z1087" s="1772"/>
      <c r="AA1087" s="1772"/>
      <c r="AB1087" s="1772"/>
      <c r="AC1087" s="1772"/>
    </row>
    <row r="1088" spans="1:29" s="1809" customFormat="1" ht="13.8" x14ac:dyDescent="0.25">
      <c r="A1088" s="1779"/>
      <c r="B1088" s="2723" t="s">
        <v>2100</v>
      </c>
      <c r="C1088" s="2723"/>
      <c r="D1088" s="2723"/>
      <c r="E1088" s="2723"/>
      <c r="F1088" s="1780">
        <f>D1088*E1088</f>
        <v>0</v>
      </c>
      <c r="G1088" s="1781">
        <f>SUM(F1084:F1088)</f>
        <v>10000</v>
      </c>
      <c r="H1088" s="2014"/>
      <c r="I1088" s="2014"/>
      <c r="J1088" s="2014"/>
      <c r="P1088" s="1772"/>
      <c r="Q1088" s="1772"/>
      <c r="R1088" s="1772"/>
      <c r="S1088" s="1772"/>
      <c r="T1088" s="1772"/>
      <c r="U1088" s="1772"/>
      <c r="V1088" s="1772"/>
      <c r="W1088" s="1772"/>
      <c r="X1088" s="1772"/>
      <c r="Y1088" s="1772"/>
      <c r="Z1088" s="1772"/>
      <c r="AA1088" s="1772"/>
      <c r="AB1088" s="1772"/>
      <c r="AC1088" s="1772"/>
    </row>
    <row r="1089" spans="1:29" s="1809" customFormat="1" ht="13.8" x14ac:dyDescent="0.25">
      <c r="A1089" s="1775"/>
      <c r="B1089" s="1782"/>
      <c r="C1089" s="1782"/>
      <c r="D1089" s="1782"/>
      <c r="E1089" s="1782"/>
      <c r="F1089" s="1777"/>
      <c r="G1089" s="1782"/>
      <c r="H1089" s="2014"/>
      <c r="I1089" s="2014"/>
      <c r="J1089" s="2014"/>
      <c r="P1089" s="1772"/>
      <c r="Q1089" s="1772"/>
      <c r="R1089" s="1772"/>
      <c r="S1089" s="1772"/>
      <c r="T1089" s="1772"/>
      <c r="U1089" s="1772"/>
      <c r="V1089" s="1772"/>
      <c r="W1089" s="1772"/>
      <c r="X1089" s="1772"/>
      <c r="Y1089" s="1772"/>
      <c r="Z1089" s="1772"/>
      <c r="AA1089" s="1772"/>
      <c r="AB1089" s="1772"/>
      <c r="AC1089" s="1772"/>
    </row>
    <row r="1090" spans="1:29" s="1809" customFormat="1" ht="13.8" x14ac:dyDescent="0.25">
      <c r="A1090" s="1775"/>
      <c r="B1090" s="1782"/>
      <c r="C1090" s="1782"/>
      <c r="D1090" s="1782"/>
      <c r="E1090" s="1782"/>
      <c r="F1090" s="1777"/>
      <c r="G1090" s="1782"/>
      <c r="H1090" s="2014"/>
      <c r="I1090" s="2014"/>
      <c r="J1090" s="2014"/>
      <c r="P1090" s="1772"/>
      <c r="Q1090" s="1772"/>
      <c r="R1090" s="1772"/>
      <c r="S1090" s="1772"/>
      <c r="T1090" s="1772"/>
      <c r="U1090" s="1772"/>
      <c r="V1090" s="1772"/>
      <c r="W1090" s="1772"/>
      <c r="X1090" s="1772"/>
      <c r="Y1090" s="1772"/>
      <c r="Z1090" s="1772"/>
      <c r="AA1090" s="1772"/>
      <c r="AB1090" s="1772"/>
      <c r="AC1090" s="1772"/>
    </row>
    <row r="1091" spans="1:29" s="1809" customFormat="1" ht="13.8" x14ac:dyDescent="0.25">
      <c r="A1091" s="2716" t="s">
        <v>2127</v>
      </c>
      <c r="B1091" s="2716"/>
      <c r="C1091" s="2716"/>
      <c r="D1091" s="2716"/>
      <c r="E1091" s="2716"/>
      <c r="F1091" s="2716"/>
      <c r="G1091" s="1783">
        <f>G1082+G1088</f>
        <v>15624.4125</v>
      </c>
      <c r="H1091" s="2014"/>
      <c r="I1091" s="2014"/>
      <c r="J1091" s="2014"/>
      <c r="P1091" s="1772"/>
      <c r="Q1091" s="1772"/>
      <c r="R1091" s="1772"/>
      <c r="S1091" s="1772"/>
      <c r="T1091" s="1772"/>
      <c r="U1091" s="1772"/>
      <c r="V1091" s="1772"/>
      <c r="W1091" s="1772"/>
      <c r="X1091" s="1772"/>
      <c r="Y1091" s="1772"/>
      <c r="Z1091" s="1772"/>
      <c r="AA1091" s="1772"/>
      <c r="AB1091" s="1772"/>
      <c r="AC1091" s="1772"/>
    </row>
    <row r="1092" spans="1:29" s="1809" customFormat="1" ht="13.8" x14ac:dyDescent="0.25">
      <c r="A1092" s="2716" t="s">
        <v>2128</v>
      </c>
      <c r="B1092" s="2716"/>
      <c r="C1092" s="2716"/>
      <c r="D1092" s="2716"/>
      <c r="E1092" s="2716"/>
      <c r="F1092" s="2716"/>
      <c r="G1092" s="1783">
        <f>G1091/9.29</f>
        <v>1681.8527987082887</v>
      </c>
      <c r="H1092" s="2014"/>
      <c r="I1092" s="2014"/>
      <c r="J1092" s="2014"/>
      <c r="P1092" s="1772"/>
      <c r="Q1092" s="1772"/>
      <c r="R1092" s="1772"/>
      <c r="S1092" s="1772"/>
      <c r="T1092" s="1772"/>
      <c r="U1092" s="1772"/>
      <c r="V1092" s="1772"/>
      <c r="W1092" s="1772"/>
      <c r="X1092" s="1772"/>
      <c r="Y1092" s="1772"/>
      <c r="Z1092" s="1772"/>
      <c r="AA1092" s="1772"/>
      <c r="AB1092" s="1772"/>
      <c r="AC1092" s="1772"/>
    </row>
    <row r="1093" spans="1:29" s="1809" customFormat="1" ht="13.8" x14ac:dyDescent="0.25">
      <c r="A1093" s="2716" t="s">
        <v>2129</v>
      </c>
      <c r="B1093" s="2716"/>
      <c r="C1093" s="2716"/>
      <c r="D1093" s="2716"/>
      <c r="E1093" s="2716"/>
      <c r="F1093" s="2716"/>
      <c r="G1093" s="1829">
        <f>G1092/10.76</f>
        <v>156.30602218478521</v>
      </c>
      <c r="H1093" s="2014"/>
      <c r="I1093" s="2014"/>
      <c r="J1093" s="2014"/>
      <c r="P1093" s="1772"/>
      <c r="Q1093" s="1772"/>
      <c r="R1093" s="1772"/>
      <c r="S1093" s="1772"/>
      <c r="T1093" s="1772"/>
      <c r="U1093" s="1772"/>
      <c r="V1093" s="1772"/>
      <c r="W1093" s="1772"/>
      <c r="X1093" s="1772"/>
      <c r="Y1093" s="1772"/>
      <c r="Z1093" s="1772"/>
      <c r="AA1093" s="1772"/>
      <c r="AB1093" s="1772"/>
      <c r="AC1093" s="1772"/>
    </row>
    <row r="1099" spans="1:29" s="1809" customFormat="1" ht="13.8" thickBot="1" x14ac:dyDescent="0.3">
      <c r="A1099" s="1772"/>
      <c r="B1099" s="1772"/>
      <c r="C1099" s="1772"/>
      <c r="D1099" s="1772"/>
      <c r="E1099" s="1772"/>
      <c r="F1099" s="1772"/>
      <c r="G1099" s="1772"/>
      <c r="H1099" s="2014"/>
      <c r="I1099" s="2014"/>
      <c r="J1099" s="2014"/>
      <c r="P1099" s="1772"/>
      <c r="Q1099" s="1772"/>
      <c r="R1099" s="1772"/>
      <c r="S1099" s="1772"/>
      <c r="T1099" s="1772"/>
      <c r="U1099" s="1772"/>
      <c r="V1099" s="1772"/>
      <c r="W1099" s="1772"/>
      <c r="X1099" s="1772"/>
      <c r="Y1099" s="1772"/>
      <c r="Z1099" s="1772"/>
      <c r="AA1099" s="1772"/>
      <c r="AB1099" s="1772"/>
      <c r="AC1099" s="1772"/>
    </row>
    <row r="1100" spans="1:29" s="1809" customFormat="1" ht="13.8" x14ac:dyDescent="0.25">
      <c r="A1100" s="2717" t="s">
        <v>2242</v>
      </c>
      <c r="B1100" s="2718"/>
      <c r="C1100" s="2718"/>
      <c r="D1100" s="2718"/>
      <c r="E1100" s="2718"/>
      <c r="F1100" s="2718"/>
      <c r="G1100" s="2719"/>
      <c r="H1100" s="2014"/>
      <c r="I1100" s="2014"/>
      <c r="J1100" s="2014"/>
      <c r="P1100" s="1772"/>
      <c r="Q1100" s="1772"/>
      <c r="R1100" s="1772"/>
      <c r="S1100" s="1772"/>
      <c r="T1100" s="1772"/>
      <c r="U1100" s="1772"/>
      <c r="V1100" s="1772"/>
      <c r="W1100" s="1772"/>
      <c r="X1100" s="1772"/>
      <c r="Y1100" s="1772"/>
      <c r="Z1100" s="1772"/>
      <c r="AA1100" s="1772"/>
      <c r="AB1100" s="1772"/>
      <c r="AC1100" s="1772"/>
    </row>
    <row r="1101" spans="1:29" s="1809" customFormat="1" ht="14.4" thickBot="1" x14ac:dyDescent="0.3">
      <c r="A1101" s="2720" t="s">
        <v>2093</v>
      </c>
      <c r="B1101" s="2721"/>
      <c r="C1101" s="2721"/>
      <c r="D1101" s="2721"/>
      <c r="E1101" s="2721"/>
      <c r="F1101" s="2721"/>
      <c r="G1101" s="2722"/>
      <c r="H1101" s="2014"/>
      <c r="I1101" s="2014"/>
      <c r="J1101" s="2014"/>
      <c r="P1101" s="1772"/>
      <c r="Q1101" s="1772"/>
      <c r="R1101" s="1772"/>
      <c r="S1101" s="1772"/>
      <c r="T1101" s="1772"/>
      <c r="U1101" s="1772"/>
      <c r="V1101" s="1772"/>
      <c r="W1101" s="1772"/>
      <c r="X1101" s="1772"/>
      <c r="Y1101" s="1772"/>
      <c r="Z1101" s="1772"/>
      <c r="AA1101" s="1772"/>
      <c r="AB1101" s="1772"/>
      <c r="AC1101" s="1772"/>
    </row>
    <row r="1102" spans="1:29" s="1809" customFormat="1" ht="14.4" thickBot="1" x14ac:dyDescent="0.3">
      <c r="A1102" s="1773"/>
      <c r="B1102" s="1774" t="s">
        <v>2094</v>
      </c>
      <c r="C1102" s="1774" t="s">
        <v>2095</v>
      </c>
      <c r="D1102" s="1774" t="s">
        <v>2</v>
      </c>
      <c r="E1102" s="1774" t="s">
        <v>2096</v>
      </c>
      <c r="F1102" s="1774" t="s">
        <v>5</v>
      </c>
      <c r="G1102" s="1774" t="s">
        <v>2097</v>
      </c>
      <c r="H1102" s="2014"/>
      <c r="I1102" s="2014"/>
      <c r="J1102" s="2014"/>
      <c r="P1102" s="1772"/>
      <c r="Q1102" s="1772"/>
      <c r="R1102" s="1772"/>
      <c r="S1102" s="1772"/>
      <c r="T1102" s="1772"/>
      <c r="U1102" s="1772"/>
      <c r="V1102" s="1772"/>
      <c r="W1102" s="1772"/>
      <c r="X1102" s="1772"/>
      <c r="Y1102" s="1772"/>
      <c r="Z1102" s="1772"/>
      <c r="AA1102" s="1772"/>
      <c r="AB1102" s="1772"/>
      <c r="AC1102" s="1772"/>
    </row>
    <row r="1103" spans="1:29" s="1809" customFormat="1" ht="13.8" x14ac:dyDescent="0.25">
      <c r="A1103" s="1775"/>
      <c r="B1103" s="1775"/>
      <c r="C1103" s="1776"/>
      <c r="D1103" s="1777"/>
      <c r="E1103" s="1777"/>
      <c r="F1103" s="1777"/>
      <c r="G1103" s="1777"/>
      <c r="H1103" s="2014"/>
      <c r="I1103" s="2014"/>
      <c r="J1103" s="2014"/>
      <c r="P1103" s="1772"/>
      <c r="Q1103" s="1772"/>
      <c r="R1103" s="1772"/>
      <c r="S1103" s="1772"/>
      <c r="T1103" s="1772"/>
      <c r="U1103" s="1772"/>
      <c r="V1103" s="1772"/>
      <c r="W1103" s="1772"/>
      <c r="X1103" s="1772"/>
      <c r="Y1103" s="1772"/>
      <c r="Z1103" s="1772"/>
      <c r="AA1103" s="1772"/>
      <c r="AB1103" s="1772"/>
      <c r="AC1103" s="1772"/>
    </row>
    <row r="1104" spans="1:29" s="1809" customFormat="1" ht="13.8" x14ac:dyDescent="0.25">
      <c r="A1104" s="1775"/>
      <c r="B1104" s="1778" t="s">
        <v>2111</v>
      </c>
      <c r="C1104" s="1776"/>
      <c r="D1104" s="1777"/>
      <c r="E1104" s="1777"/>
      <c r="F1104" s="1777"/>
      <c r="G1104" s="1777"/>
      <c r="H1104" s="2014"/>
      <c r="I1104" s="2014"/>
      <c r="J1104" s="2014"/>
      <c r="P1104" s="1772"/>
      <c r="Q1104" s="1772"/>
      <c r="R1104" s="1772"/>
      <c r="S1104" s="1772"/>
      <c r="T1104" s="1772"/>
      <c r="U1104" s="1772"/>
      <c r="V1104" s="1772"/>
      <c r="W1104" s="1772"/>
      <c r="X1104" s="1772"/>
      <c r="Y1104" s="1772"/>
      <c r="Z1104" s="1772"/>
      <c r="AA1104" s="1772"/>
      <c r="AB1104" s="1772"/>
      <c r="AC1104" s="1772"/>
    </row>
    <row r="1105" spans="1:29" s="1809" customFormat="1" ht="13.8" x14ac:dyDescent="0.25">
      <c r="A1105" s="1775"/>
      <c r="B1105" s="1775"/>
      <c r="C1105" s="1776"/>
      <c r="D1105" s="1777"/>
      <c r="E1105" s="1777"/>
      <c r="F1105" s="1777"/>
      <c r="G1105" s="1777"/>
      <c r="H1105" s="2014"/>
      <c r="I1105" s="2014">
        <f>9.29*0.018</f>
        <v>0.16721999999999998</v>
      </c>
      <c r="J1105" s="2014">
        <f>I1105*1.3333</f>
        <v>0.22295442599999996</v>
      </c>
      <c r="P1105" s="1772"/>
      <c r="Q1105" s="1772"/>
      <c r="R1105" s="1772"/>
      <c r="S1105" s="1772"/>
      <c r="T1105" s="1772"/>
      <c r="U1105" s="1772"/>
      <c r="V1105" s="1772"/>
      <c r="W1105" s="1772"/>
      <c r="X1105" s="1772"/>
      <c r="Y1105" s="1772"/>
      <c r="Z1105" s="1772"/>
      <c r="AA1105" s="1772"/>
      <c r="AB1105" s="1772"/>
      <c r="AC1105" s="1772"/>
    </row>
    <row r="1106" spans="1:29" s="1809" customFormat="1" ht="13.8" x14ac:dyDescent="0.25">
      <c r="A1106" s="1788"/>
      <c r="B1106" s="1788" t="s">
        <v>2159</v>
      </c>
      <c r="C1106" s="1789" t="s">
        <v>1945</v>
      </c>
      <c r="D1106" s="1789">
        <v>1.61</v>
      </c>
      <c r="E1106" s="1789">
        <f>F197</f>
        <v>2235.625</v>
      </c>
      <c r="F1106" s="1789">
        <f>D1106*E1106</f>
        <v>3599.3562500000003</v>
      </c>
      <c r="G1106" s="1789"/>
      <c r="H1106" s="2014"/>
      <c r="I1106" s="2014"/>
      <c r="J1106" s="2014"/>
      <c r="P1106" s="1772"/>
      <c r="Q1106" s="1772"/>
      <c r="R1106" s="1772"/>
      <c r="S1106" s="1772"/>
      <c r="T1106" s="1772"/>
      <c r="U1106" s="1772"/>
      <c r="V1106" s="1772"/>
      <c r="W1106" s="1772"/>
      <c r="X1106" s="1772"/>
      <c r="Y1106" s="1772"/>
      <c r="Z1106" s="1772"/>
      <c r="AA1106" s="1772"/>
      <c r="AB1106" s="1772"/>
      <c r="AC1106" s="1772"/>
    </row>
    <row r="1107" spans="1:29" s="1809" customFormat="1" ht="13.8" x14ac:dyDescent="0.25">
      <c r="A1107" s="1788"/>
      <c r="B1107" s="1788" t="s">
        <v>1947</v>
      </c>
      <c r="C1107" s="1789" t="s">
        <v>131</v>
      </c>
      <c r="D1107" s="1789">
        <v>0.06</v>
      </c>
      <c r="E1107" s="1789">
        <f>Material!E13</f>
        <v>23500</v>
      </c>
      <c r="F1107" s="1789">
        <f>D1107*E1107</f>
        <v>1410</v>
      </c>
      <c r="G1107" s="1789"/>
      <c r="H1107" s="2014"/>
      <c r="I1107" s="2014">
        <f>J1105/4</f>
        <v>5.5738606499999989E-2</v>
      </c>
      <c r="J1107" s="2014"/>
      <c r="P1107" s="1772"/>
      <c r="Q1107" s="1772"/>
      <c r="R1107" s="1772"/>
      <c r="S1107" s="1772"/>
      <c r="T1107" s="1772"/>
      <c r="U1107" s="1772"/>
      <c r="V1107" s="1772"/>
      <c r="W1107" s="1772"/>
      <c r="X1107" s="1772"/>
      <c r="Y1107" s="1772"/>
      <c r="Z1107" s="1772"/>
      <c r="AA1107" s="1772"/>
      <c r="AB1107" s="1772"/>
      <c r="AC1107" s="1772"/>
    </row>
    <row r="1108" spans="1:29" s="1809" customFormat="1" ht="13.8" x14ac:dyDescent="0.25">
      <c r="A1108" s="1788"/>
      <c r="B1108" s="1817" t="s">
        <v>2243</v>
      </c>
      <c r="C1108" s="1789" t="s">
        <v>1974</v>
      </c>
      <c r="D1108" s="1789">
        <v>3.75</v>
      </c>
      <c r="E1108" s="1789">
        <v>650</v>
      </c>
      <c r="F1108" s="1789">
        <f>D1108*E1108</f>
        <v>2437.5</v>
      </c>
      <c r="G1108" s="1789"/>
      <c r="H1108" s="2014"/>
      <c r="I1108" s="2014"/>
      <c r="J1108" s="2014"/>
      <c r="P1108" s="1772"/>
      <c r="Q1108" s="1772"/>
      <c r="R1108" s="1772"/>
      <c r="S1108" s="1772"/>
      <c r="T1108" s="1772"/>
      <c r="U1108" s="1772"/>
      <c r="V1108" s="1772"/>
      <c r="W1108" s="1772"/>
      <c r="X1108" s="1772"/>
      <c r="Y1108" s="1772"/>
      <c r="Z1108" s="1772"/>
      <c r="AA1108" s="1772"/>
      <c r="AB1108" s="1772"/>
      <c r="AC1108" s="1772"/>
    </row>
    <row r="1109" spans="1:29" s="1809" customFormat="1" ht="13.8" x14ac:dyDescent="0.25">
      <c r="A1109" s="1775"/>
      <c r="B1109" s="1776"/>
      <c r="C1109" s="1777"/>
      <c r="D1109" s="1777"/>
      <c r="E1109" s="1777"/>
      <c r="F1109" s="1789"/>
      <c r="G1109" s="1777"/>
      <c r="H1109" s="2014"/>
      <c r="I1109" s="2014">
        <f>I1107*1440</f>
        <v>80.263593359999987</v>
      </c>
      <c r="J1109" s="2014">
        <f>I1109/50</f>
        <v>1.6052718671999997</v>
      </c>
      <c r="P1109" s="1772"/>
      <c r="Q1109" s="1772"/>
      <c r="R1109" s="1772"/>
      <c r="S1109" s="1772"/>
      <c r="T1109" s="1772"/>
      <c r="U1109" s="1772"/>
      <c r="V1109" s="1772"/>
      <c r="W1109" s="1772"/>
      <c r="X1109" s="1772"/>
      <c r="Y1109" s="1772"/>
      <c r="Z1109" s="1772"/>
      <c r="AA1109" s="1772"/>
      <c r="AB1109" s="1772"/>
      <c r="AC1109" s="1772"/>
    </row>
    <row r="1110" spans="1:29" s="1809" customFormat="1" ht="13.8" x14ac:dyDescent="0.25">
      <c r="A1110" s="1775"/>
      <c r="B1110" s="1775"/>
      <c r="C1110" s="1776"/>
      <c r="D1110" s="1777"/>
      <c r="E1110" s="1777"/>
      <c r="F1110" s="1777"/>
      <c r="G1110" s="1777"/>
      <c r="H1110" s="2014"/>
      <c r="I1110" s="2014">
        <f>I1107*3</f>
        <v>0.16721581949999997</v>
      </c>
      <c r="J1110" s="2014">
        <f>I1110/2.83</f>
        <v>5.9086862014134267E-2</v>
      </c>
      <c r="P1110" s="1772"/>
      <c r="Q1110" s="1772"/>
      <c r="R1110" s="1772"/>
      <c r="S1110" s="1772"/>
      <c r="T1110" s="1772"/>
      <c r="U1110" s="1772"/>
      <c r="V1110" s="1772"/>
      <c r="W1110" s="1772"/>
      <c r="X1110" s="1772"/>
      <c r="Y1110" s="1772"/>
      <c r="Z1110" s="1772"/>
      <c r="AA1110" s="1772"/>
      <c r="AB1110" s="1772"/>
      <c r="AC1110" s="1772"/>
    </row>
    <row r="1111" spans="1:29" s="1809" customFormat="1" ht="13.8" x14ac:dyDescent="0.25">
      <c r="A1111" s="1779"/>
      <c r="B1111" s="2723" t="s">
        <v>2112</v>
      </c>
      <c r="C1111" s="2723"/>
      <c r="D1111" s="2723"/>
      <c r="E1111" s="2723"/>
      <c r="F1111" s="1780"/>
      <c r="G1111" s="1781">
        <f>SUM(F1103:F1111)</f>
        <v>7446.8562500000007</v>
      </c>
      <c r="H1111" s="2014"/>
      <c r="I1111" s="2014"/>
      <c r="J1111" s="2014"/>
      <c r="P1111" s="1772"/>
      <c r="Q1111" s="1772"/>
      <c r="R1111" s="1772"/>
      <c r="S1111" s="1772"/>
      <c r="T1111" s="1772"/>
      <c r="U1111" s="1772"/>
      <c r="V1111" s="1772"/>
      <c r="W1111" s="1772"/>
      <c r="X1111" s="1772"/>
      <c r="Y1111" s="1772"/>
      <c r="Z1111" s="1772"/>
      <c r="AA1111" s="1772"/>
      <c r="AB1111" s="1772"/>
      <c r="AC1111" s="1772"/>
    </row>
    <row r="1112" spans="1:29" s="1809" customFormat="1" ht="13.8" x14ac:dyDescent="0.25">
      <c r="A1112" s="1775"/>
      <c r="B1112" s="1778" t="s">
        <v>2098</v>
      </c>
      <c r="C1112" s="1776"/>
      <c r="D1112" s="1777"/>
      <c r="E1112" s="1777"/>
      <c r="F1112" s="1777"/>
      <c r="G1112" s="1777"/>
      <c r="H1112" s="2014"/>
      <c r="I1112" s="2014"/>
      <c r="J1112" s="2014">
        <f>10850*1.15</f>
        <v>12477.499999999998</v>
      </c>
      <c r="K1112" s="1809">
        <f>J1112/20</f>
        <v>623.87499999999989</v>
      </c>
      <c r="P1112" s="1772"/>
      <c r="Q1112" s="1772"/>
      <c r="R1112" s="1772"/>
      <c r="S1112" s="1772"/>
      <c r="T1112" s="1772"/>
      <c r="U1112" s="1772"/>
      <c r="V1112" s="1772"/>
      <c r="W1112" s="1772"/>
      <c r="X1112" s="1772"/>
      <c r="Y1112" s="1772"/>
      <c r="Z1112" s="1772"/>
      <c r="AA1112" s="1772"/>
      <c r="AB1112" s="1772"/>
      <c r="AC1112" s="1772"/>
    </row>
    <row r="1113" spans="1:29" s="1809" customFormat="1" ht="13.8" x14ac:dyDescent="0.25">
      <c r="A1113" s="1788"/>
      <c r="B1113" s="1788" t="s">
        <v>2240</v>
      </c>
      <c r="C1113" s="1789" t="s">
        <v>2126</v>
      </c>
      <c r="D1113" s="1789">
        <v>100</v>
      </c>
      <c r="E1113" s="1789">
        <v>65</v>
      </c>
      <c r="F1113" s="1789">
        <f>D1113*E1113</f>
        <v>6500</v>
      </c>
      <c r="G1113" s="1789"/>
      <c r="H1113" s="2014"/>
      <c r="I1113" s="2014"/>
      <c r="J1113" s="2014"/>
      <c r="P1113" s="1772"/>
      <c r="Q1113" s="1772"/>
      <c r="R1113" s="1772"/>
      <c r="S1113" s="1772"/>
      <c r="T1113" s="1772"/>
      <c r="U1113" s="1772"/>
      <c r="V1113" s="1772"/>
      <c r="W1113" s="1772"/>
      <c r="X1113" s="1772"/>
      <c r="Y1113" s="1772"/>
      <c r="Z1113" s="1772"/>
      <c r="AA1113" s="1772"/>
      <c r="AB1113" s="1772"/>
      <c r="AC1113" s="1772"/>
    </row>
    <row r="1114" spans="1:29" s="1809" customFormat="1" ht="13.8" x14ac:dyDescent="0.25">
      <c r="A1114" s="1775"/>
      <c r="B1114" s="1775"/>
      <c r="C1114" s="1777"/>
      <c r="D1114" s="1777"/>
      <c r="E1114" s="1777"/>
      <c r="F1114" s="1777"/>
      <c r="G1114" s="1777"/>
      <c r="H1114" s="2014"/>
      <c r="I1114" s="2014"/>
      <c r="J1114" s="2014"/>
      <c r="P1114" s="1772"/>
      <c r="Q1114" s="1772"/>
      <c r="R1114" s="1772"/>
      <c r="S1114" s="1772"/>
      <c r="T1114" s="1772"/>
      <c r="U1114" s="1772"/>
      <c r="V1114" s="1772"/>
      <c r="W1114" s="1772"/>
      <c r="X1114" s="1772"/>
      <c r="Y1114" s="1772"/>
      <c r="Z1114" s="1772"/>
      <c r="AA1114" s="1772"/>
      <c r="AB1114" s="1772"/>
      <c r="AC1114" s="1772"/>
    </row>
    <row r="1115" spans="1:29" s="1809" customFormat="1" ht="13.8" x14ac:dyDescent="0.25">
      <c r="A1115" s="1775"/>
      <c r="B1115" s="1775"/>
      <c r="C1115" s="1777"/>
      <c r="D1115" s="1777"/>
      <c r="E1115" s="1777"/>
      <c r="F1115" s="1777"/>
      <c r="G1115" s="1777"/>
      <c r="H1115" s="2014"/>
      <c r="I1115" s="2014"/>
      <c r="J1115" s="2014"/>
      <c r="P1115" s="1772"/>
      <c r="Q1115" s="1772"/>
      <c r="R1115" s="1772"/>
      <c r="S1115" s="1772"/>
      <c r="T1115" s="1772"/>
      <c r="U1115" s="1772"/>
      <c r="V1115" s="1772"/>
      <c r="W1115" s="1772"/>
      <c r="X1115" s="1772"/>
      <c r="Y1115" s="1772"/>
      <c r="Z1115" s="1772"/>
      <c r="AA1115" s="1772"/>
      <c r="AB1115" s="1772"/>
      <c r="AC1115" s="1772"/>
    </row>
    <row r="1116" spans="1:29" s="1809" customFormat="1" ht="13.8" x14ac:dyDescent="0.25">
      <c r="A1116" s="1775"/>
      <c r="B1116" s="1775"/>
      <c r="C1116" s="1776"/>
      <c r="D1116" s="1777"/>
      <c r="E1116" s="1777"/>
      <c r="F1116" s="1777"/>
      <c r="G1116" s="1777"/>
      <c r="H1116" s="2014"/>
      <c r="I1116" s="2014"/>
      <c r="J1116" s="2014"/>
      <c r="P1116" s="1772"/>
      <c r="Q1116" s="1772"/>
      <c r="R1116" s="1772"/>
      <c r="S1116" s="1772"/>
      <c r="T1116" s="1772"/>
      <c r="U1116" s="1772"/>
      <c r="V1116" s="1772"/>
      <c r="W1116" s="1772"/>
      <c r="X1116" s="1772"/>
      <c r="Y1116" s="1772"/>
      <c r="Z1116" s="1772"/>
      <c r="AA1116" s="1772"/>
      <c r="AB1116" s="1772"/>
      <c r="AC1116" s="1772"/>
    </row>
    <row r="1117" spans="1:29" s="1809" customFormat="1" ht="13.8" x14ac:dyDescent="0.25">
      <c r="A1117" s="1779"/>
      <c r="B1117" s="2723" t="s">
        <v>2100</v>
      </c>
      <c r="C1117" s="2723"/>
      <c r="D1117" s="2723"/>
      <c r="E1117" s="2723"/>
      <c r="F1117" s="1780">
        <f>D1117*E1117</f>
        <v>0</v>
      </c>
      <c r="G1117" s="1781">
        <f>SUM(F1113:F1117)</f>
        <v>6500</v>
      </c>
      <c r="H1117" s="2014"/>
      <c r="I1117" s="2014"/>
      <c r="J1117" s="2014"/>
      <c r="P1117" s="1772"/>
      <c r="Q1117" s="1772"/>
      <c r="R1117" s="1772"/>
      <c r="S1117" s="1772"/>
      <c r="T1117" s="1772"/>
      <c r="U1117" s="1772"/>
      <c r="V1117" s="1772"/>
      <c r="W1117" s="1772"/>
      <c r="X1117" s="1772"/>
      <c r="Y1117" s="1772"/>
      <c r="Z1117" s="1772"/>
      <c r="AA1117" s="1772"/>
      <c r="AB1117" s="1772"/>
      <c r="AC1117" s="1772"/>
    </row>
    <row r="1118" spans="1:29" s="1809" customFormat="1" ht="13.8" x14ac:dyDescent="0.25">
      <c r="A1118" s="1775"/>
      <c r="B1118" s="1782"/>
      <c r="C1118" s="1782"/>
      <c r="D1118" s="1782"/>
      <c r="E1118" s="1782"/>
      <c r="F1118" s="1777"/>
      <c r="G1118" s="1782"/>
      <c r="H1118" s="2014"/>
      <c r="I1118" s="2014"/>
      <c r="J1118" s="2014"/>
      <c r="P1118" s="1772"/>
      <c r="Q1118" s="1772"/>
      <c r="R1118" s="1772"/>
      <c r="S1118" s="1772"/>
      <c r="T1118" s="1772"/>
      <c r="U1118" s="1772"/>
      <c r="V1118" s="1772"/>
      <c r="W1118" s="1772"/>
      <c r="X1118" s="1772"/>
      <c r="Y1118" s="1772"/>
      <c r="Z1118" s="1772"/>
      <c r="AA1118" s="1772"/>
      <c r="AB1118" s="1772"/>
      <c r="AC1118" s="1772"/>
    </row>
    <row r="1119" spans="1:29" s="1809" customFormat="1" ht="13.8" x14ac:dyDescent="0.25">
      <c r="A1119" s="1775"/>
      <c r="B1119" s="1782"/>
      <c r="C1119" s="1782"/>
      <c r="D1119" s="1782"/>
      <c r="E1119" s="1782"/>
      <c r="F1119" s="1777"/>
      <c r="G1119" s="1782"/>
      <c r="H1119" s="2014"/>
      <c r="I1119" s="2014"/>
      <c r="J1119" s="2014"/>
      <c r="P1119" s="1772"/>
      <c r="Q1119" s="1772"/>
      <c r="R1119" s="1772"/>
      <c r="S1119" s="1772"/>
      <c r="T1119" s="1772"/>
      <c r="U1119" s="1772"/>
      <c r="V1119" s="1772"/>
      <c r="W1119" s="1772"/>
      <c r="X1119" s="1772"/>
      <c r="Y1119" s="1772"/>
      <c r="Z1119" s="1772"/>
      <c r="AA1119" s="1772"/>
      <c r="AB1119" s="1772"/>
      <c r="AC1119" s="1772"/>
    </row>
    <row r="1120" spans="1:29" s="1809" customFormat="1" ht="13.8" x14ac:dyDescent="0.25">
      <c r="A1120" s="2716" t="s">
        <v>2127</v>
      </c>
      <c r="B1120" s="2716"/>
      <c r="C1120" s="2716"/>
      <c r="D1120" s="2716"/>
      <c r="E1120" s="2716"/>
      <c r="F1120" s="2716"/>
      <c r="G1120" s="1783">
        <f>G1111+G1117</f>
        <v>13946.856250000001</v>
      </c>
      <c r="H1120" s="2014"/>
      <c r="I1120" s="2014"/>
      <c r="J1120" s="2014"/>
      <c r="P1120" s="1772"/>
      <c r="Q1120" s="1772"/>
      <c r="R1120" s="1772"/>
      <c r="S1120" s="1772"/>
      <c r="T1120" s="1772"/>
      <c r="U1120" s="1772"/>
      <c r="V1120" s="1772"/>
      <c r="W1120" s="1772"/>
      <c r="X1120" s="1772"/>
      <c r="Y1120" s="1772"/>
      <c r="Z1120" s="1772"/>
      <c r="AA1120" s="1772"/>
      <c r="AB1120" s="1772"/>
      <c r="AC1120" s="1772"/>
    </row>
    <row r="1121" spans="1:29" s="1809" customFormat="1" ht="13.8" x14ac:dyDescent="0.25">
      <c r="A1121" s="2716" t="s">
        <v>2128</v>
      </c>
      <c r="B1121" s="2716"/>
      <c r="C1121" s="2716"/>
      <c r="D1121" s="2716"/>
      <c r="E1121" s="2716"/>
      <c r="F1121" s="2716"/>
      <c r="G1121" s="1783">
        <f>G1120/9.29</f>
        <v>1501.2762378902048</v>
      </c>
      <c r="H1121" s="2014"/>
      <c r="I1121" s="2014"/>
      <c r="J1121" s="2014"/>
      <c r="P1121" s="1772"/>
      <c r="Q1121" s="1772"/>
      <c r="R1121" s="1772"/>
      <c r="S1121" s="1772"/>
      <c r="T1121" s="1772"/>
      <c r="U1121" s="1772"/>
      <c r="V1121" s="1772"/>
      <c r="W1121" s="1772"/>
      <c r="X1121" s="1772"/>
      <c r="Y1121" s="1772"/>
      <c r="Z1121" s="1772"/>
      <c r="AA1121" s="1772"/>
      <c r="AB1121" s="1772"/>
      <c r="AC1121" s="1772"/>
    </row>
    <row r="1122" spans="1:29" ht="13.8" x14ac:dyDescent="0.25">
      <c r="A1122" s="2716" t="s">
        <v>2129</v>
      </c>
      <c r="B1122" s="2716"/>
      <c r="C1122" s="2716"/>
      <c r="D1122" s="2716"/>
      <c r="E1122" s="2716"/>
      <c r="F1122" s="2716"/>
      <c r="G1122" s="1829">
        <f>G1121/10.76</f>
        <v>139.52381393031644</v>
      </c>
    </row>
    <row r="1127" spans="1:29" ht="13.8" thickBot="1" x14ac:dyDescent="0.3"/>
    <row r="1128" spans="1:29" ht="13.8" x14ac:dyDescent="0.25">
      <c r="A1128" s="2717" t="s">
        <v>2244</v>
      </c>
      <c r="B1128" s="2718"/>
      <c r="C1128" s="2718"/>
      <c r="D1128" s="2718"/>
      <c r="E1128" s="2718"/>
      <c r="F1128" s="2718"/>
      <c r="G1128" s="2719"/>
    </row>
    <row r="1129" spans="1:29" ht="14.4" thickBot="1" x14ac:dyDescent="0.3">
      <c r="A1129" s="2720" t="s">
        <v>2093</v>
      </c>
      <c r="B1129" s="2721"/>
      <c r="C1129" s="2721"/>
      <c r="D1129" s="2721"/>
      <c r="E1129" s="2721"/>
      <c r="F1129" s="2721"/>
      <c r="G1129" s="2722"/>
    </row>
    <row r="1130" spans="1:29" ht="14.4" thickBot="1" x14ac:dyDescent="0.3">
      <c r="A1130" s="1773"/>
      <c r="B1130" s="1774" t="s">
        <v>2094</v>
      </c>
      <c r="C1130" s="1774" t="s">
        <v>2095</v>
      </c>
      <c r="D1130" s="1774" t="s">
        <v>2</v>
      </c>
      <c r="E1130" s="1774" t="s">
        <v>2096</v>
      </c>
      <c r="F1130" s="1774" t="s">
        <v>5</v>
      </c>
      <c r="G1130" s="1774" t="s">
        <v>2097</v>
      </c>
    </row>
    <row r="1131" spans="1:29" ht="13.8" x14ac:dyDescent="0.25">
      <c r="A1131" s="1775"/>
      <c r="B1131" s="1775"/>
      <c r="C1131" s="1776"/>
      <c r="D1131" s="1777"/>
      <c r="E1131" s="1777"/>
      <c r="F1131" s="1777"/>
      <c r="G1131" s="1777"/>
    </row>
    <row r="1132" spans="1:29" ht="13.8" x14ac:dyDescent="0.25">
      <c r="A1132" s="1775"/>
      <c r="B1132" s="1778" t="s">
        <v>2111</v>
      </c>
      <c r="C1132" s="1776"/>
      <c r="D1132" s="1777"/>
      <c r="E1132" s="1777"/>
      <c r="F1132" s="1777"/>
      <c r="G1132" s="1777"/>
    </row>
    <row r="1133" spans="1:29" ht="13.8" x14ac:dyDescent="0.25">
      <c r="A1133" s="1775"/>
      <c r="B1133" s="1775"/>
      <c r="C1133" s="1776"/>
      <c r="D1133" s="1777"/>
      <c r="E1133" s="1777"/>
      <c r="F1133" s="1777"/>
      <c r="G1133" s="1777"/>
    </row>
    <row r="1134" spans="1:29" ht="13.8" x14ac:dyDescent="0.25">
      <c r="A1134" s="1786"/>
      <c r="B1134" s="1786" t="s">
        <v>2159</v>
      </c>
      <c r="C1134" s="1761" t="s">
        <v>1945</v>
      </c>
      <c r="D1134" s="1761">
        <v>1.61</v>
      </c>
      <c r="E1134" s="1761">
        <f>F197</f>
        <v>2235.625</v>
      </c>
      <c r="F1134" s="1761">
        <f>D1134*E1134</f>
        <v>3599.3562500000003</v>
      </c>
      <c r="G1134" s="1761"/>
    </row>
    <row r="1135" spans="1:29" ht="13.8" x14ac:dyDescent="0.25">
      <c r="A1135" s="1786"/>
      <c r="B1135" s="1786" t="s">
        <v>1947</v>
      </c>
      <c r="C1135" s="1761" t="s">
        <v>131</v>
      </c>
      <c r="D1135" s="1761">
        <v>0.06</v>
      </c>
      <c r="E1135" s="1761">
        <f>Material!E13</f>
        <v>23500</v>
      </c>
      <c r="F1135" s="1761">
        <f>D1135*E1135</f>
        <v>1410</v>
      </c>
      <c r="G1135" s="1761"/>
    </row>
    <row r="1136" spans="1:29" ht="13.8" x14ac:dyDescent="0.25">
      <c r="A1136" s="1788"/>
      <c r="B1136" s="1817"/>
      <c r="C1136" s="1789"/>
      <c r="D1136" s="1789"/>
      <c r="E1136" s="1789"/>
      <c r="F1136" s="1789">
        <f>D1136*E1136</f>
        <v>0</v>
      </c>
      <c r="G1136" s="1789"/>
    </row>
    <row r="1137" spans="1:7" ht="13.8" x14ac:dyDescent="0.25">
      <c r="A1137" s="1775"/>
      <c r="B1137" s="1776"/>
      <c r="C1137" s="1777"/>
      <c r="D1137" s="1777"/>
      <c r="E1137" s="1777"/>
      <c r="F1137" s="1789"/>
      <c r="G1137" s="1777"/>
    </row>
    <row r="1138" spans="1:7" ht="13.8" x14ac:dyDescent="0.25">
      <c r="A1138" s="1775"/>
      <c r="B1138" s="1775"/>
      <c r="C1138" s="1776"/>
      <c r="D1138" s="1777"/>
      <c r="E1138" s="1777"/>
      <c r="F1138" s="1777"/>
      <c r="G1138" s="1777"/>
    </row>
    <row r="1139" spans="1:7" ht="13.8" x14ac:dyDescent="0.25">
      <c r="A1139" s="1779"/>
      <c r="B1139" s="2723" t="s">
        <v>2112</v>
      </c>
      <c r="C1139" s="2723"/>
      <c r="D1139" s="2723"/>
      <c r="E1139" s="2723"/>
      <c r="F1139" s="1780"/>
      <c r="G1139" s="1781">
        <f>SUM(F1131:F1139)</f>
        <v>5009.3562500000007</v>
      </c>
    </row>
    <row r="1140" spans="1:7" ht="13.8" x14ac:dyDescent="0.25">
      <c r="A1140" s="1775"/>
      <c r="B1140" s="1778" t="s">
        <v>2098</v>
      </c>
      <c r="C1140" s="1776"/>
      <c r="D1140" s="1777"/>
      <c r="E1140" s="1777"/>
      <c r="F1140" s="1777"/>
      <c r="G1140" s="1777"/>
    </row>
    <row r="1141" spans="1:7" ht="13.8" x14ac:dyDescent="0.25">
      <c r="A1141" s="1788"/>
      <c r="B1141" s="1788" t="s">
        <v>2240</v>
      </c>
      <c r="C1141" s="1789" t="s">
        <v>2126</v>
      </c>
      <c r="D1141" s="1789">
        <v>100</v>
      </c>
      <c r="E1141" s="1789">
        <v>60</v>
      </c>
      <c r="F1141" s="1789">
        <f>D1141*E1141</f>
        <v>6000</v>
      </c>
      <c r="G1141" s="1789"/>
    </row>
    <row r="1142" spans="1:7" ht="13.8" x14ac:dyDescent="0.25">
      <c r="A1142" s="1775"/>
      <c r="B1142" s="1775"/>
      <c r="C1142" s="1777"/>
      <c r="D1142" s="1777"/>
      <c r="E1142" s="1777"/>
      <c r="F1142" s="1777"/>
      <c r="G1142" s="1777"/>
    </row>
    <row r="1143" spans="1:7" ht="13.8" x14ac:dyDescent="0.25">
      <c r="A1143" s="1775"/>
      <c r="B1143" s="1775"/>
      <c r="C1143" s="1777"/>
      <c r="D1143" s="1777"/>
      <c r="E1143" s="1777"/>
      <c r="F1143" s="1777"/>
      <c r="G1143" s="1777"/>
    </row>
    <row r="1144" spans="1:7" ht="13.8" x14ac:dyDescent="0.25">
      <c r="A1144" s="1775"/>
      <c r="B1144" s="1775"/>
      <c r="C1144" s="1776"/>
      <c r="D1144" s="1777"/>
      <c r="E1144" s="1777"/>
      <c r="F1144" s="1777"/>
      <c r="G1144" s="1777"/>
    </row>
    <row r="1145" spans="1:7" ht="13.8" x14ac:dyDescent="0.25">
      <c r="A1145" s="1779"/>
      <c r="B1145" s="2723" t="s">
        <v>2100</v>
      </c>
      <c r="C1145" s="2723"/>
      <c r="D1145" s="2723"/>
      <c r="E1145" s="2723"/>
      <c r="F1145" s="1780">
        <f>D1145*E1145</f>
        <v>0</v>
      </c>
      <c r="G1145" s="1781">
        <f>SUM(F1141:F1145)</f>
        <v>6000</v>
      </c>
    </row>
    <row r="1146" spans="1:7" ht="13.8" x14ac:dyDescent="0.25">
      <c r="A1146" s="1775"/>
      <c r="B1146" s="1782"/>
      <c r="C1146" s="1782"/>
      <c r="D1146" s="1782"/>
      <c r="E1146" s="1782"/>
      <c r="F1146" s="1777"/>
      <c r="G1146" s="1782"/>
    </row>
    <row r="1147" spans="1:7" ht="13.8" x14ac:dyDescent="0.25">
      <c r="A1147" s="1775"/>
      <c r="B1147" s="1782"/>
      <c r="C1147" s="1782"/>
      <c r="D1147" s="1782"/>
      <c r="E1147" s="1782"/>
      <c r="F1147" s="1777"/>
      <c r="G1147" s="1782"/>
    </row>
    <row r="1148" spans="1:7" ht="13.8" x14ac:dyDescent="0.25">
      <c r="A1148" s="2716" t="s">
        <v>2127</v>
      </c>
      <c r="B1148" s="2716"/>
      <c r="C1148" s="2716"/>
      <c r="D1148" s="2716"/>
      <c r="E1148" s="2716"/>
      <c r="F1148" s="2716"/>
      <c r="G1148" s="1783">
        <f>G1139+G1145</f>
        <v>11009.356250000001</v>
      </c>
    </row>
    <row r="1149" spans="1:7" ht="13.8" x14ac:dyDescent="0.25">
      <c r="A1149" s="2716" t="s">
        <v>2128</v>
      </c>
      <c r="B1149" s="2716"/>
      <c r="C1149" s="2716"/>
      <c r="D1149" s="2716"/>
      <c r="E1149" s="2716"/>
      <c r="F1149" s="2716"/>
      <c r="G1149" s="1783">
        <f>G1148/9.29</f>
        <v>1185.0760226049517</v>
      </c>
    </row>
    <row r="1150" spans="1:7" ht="13.8" x14ac:dyDescent="0.25">
      <c r="A1150" s="2716" t="s">
        <v>2129</v>
      </c>
      <c r="B1150" s="2716"/>
      <c r="C1150" s="2716"/>
      <c r="D1150" s="2716"/>
      <c r="E1150" s="2716"/>
      <c r="F1150" s="2716"/>
      <c r="G1150" s="1829">
        <f>G1149/10.76</f>
        <v>110.13717682202154</v>
      </c>
    </row>
    <row r="1152" spans="1:7" ht="13.8" thickBot="1" x14ac:dyDescent="0.3"/>
    <row r="1153" spans="1:7" ht="13.8" x14ac:dyDescent="0.25">
      <c r="A1153" s="2717" t="s">
        <v>2245</v>
      </c>
      <c r="B1153" s="2718"/>
      <c r="C1153" s="2718"/>
      <c r="D1153" s="2718"/>
      <c r="E1153" s="2718"/>
      <c r="F1153" s="2718"/>
      <c r="G1153" s="2719"/>
    </row>
    <row r="1154" spans="1:7" ht="14.4" thickBot="1" x14ac:dyDescent="0.3">
      <c r="A1154" s="2720" t="s">
        <v>2093</v>
      </c>
      <c r="B1154" s="2721"/>
      <c r="C1154" s="2721"/>
      <c r="D1154" s="2721"/>
      <c r="E1154" s="2721"/>
      <c r="F1154" s="2721"/>
      <c r="G1154" s="2722"/>
    </row>
    <row r="1155" spans="1:7" ht="14.4" thickBot="1" x14ac:dyDescent="0.3">
      <c r="A1155" s="1773"/>
      <c r="B1155" s="1774" t="s">
        <v>2094</v>
      </c>
      <c r="C1155" s="1774" t="s">
        <v>2095</v>
      </c>
      <c r="D1155" s="1774" t="s">
        <v>2</v>
      </c>
      <c r="E1155" s="1774" t="s">
        <v>2096</v>
      </c>
      <c r="F1155" s="1774" t="s">
        <v>5</v>
      </c>
      <c r="G1155" s="1774" t="s">
        <v>2097</v>
      </c>
    </row>
    <row r="1156" spans="1:7" ht="13.8" x14ac:dyDescent="0.25">
      <c r="A1156" s="1775"/>
      <c r="B1156" s="1775"/>
      <c r="C1156" s="1776"/>
      <c r="D1156" s="1777"/>
      <c r="E1156" s="1777"/>
      <c r="F1156" s="1777"/>
      <c r="G1156" s="1777"/>
    </row>
    <row r="1157" spans="1:7" ht="13.8" x14ac:dyDescent="0.25">
      <c r="A1157" s="1775"/>
      <c r="B1157" s="1778" t="s">
        <v>2111</v>
      </c>
      <c r="C1157" s="1776"/>
      <c r="D1157" s="1777"/>
      <c r="E1157" s="1777"/>
      <c r="F1157" s="1777"/>
      <c r="G1157" s="1777"/>
    </row>
    <row r="1158" spans="1:7" ht="13.8" x14ac:dyDescent="0.25">
      <c r="A1158" s="1775"/>
      <c r="B1158" s="1775"/>
      <c r="C1158" s="1776"/>
      <c r="D1158" s="1777"/>
      <c r="E1158" s="1777"/>
      <c r="F1158" s="1777"/>
      <c r="G1158" s="1777"/>
    </row>
    <row r="1159" spans="1:7" ht="13.8" x14ac:dyDescent="0.25">
      <c r="A1159" s="1786"/>
      <c r="B1159" s="1786" t="s">
        <v>2159</v>
      </c>
      <c r="C1159" s="1761" t="s">
        <v>1945</v>
      </c>
      <c r="D1159" s="1761">
        <v>2.2999999999999998</v>
      </c>
      <c r="E1159" s="1761">
        <f>F197</f>
        <v>2235.625</v>
      </c>
      <c r="F1159" s="1761">
        <f>D1159*E1159</f>
        <v>5141.9375</v>
      </c>
      <c r="G1159" s="1761"/>
    </row>
    <row r="1160" spans="1:7" ht="13.8" x14ac:dyDescent="0.25">
      <c r="A1160" s="1786"/>
      <c r="B1160" s="1786" t="s">
        <v>1947</v>
      </c>
      <c r="C1160" s="1761" t="s">
        <v>131</v>
      </c>
      <c r="D1160" s="1761">
        <v>0.08</v>
      </c>
      <c r="E1160" s="1761">
        <f>Material!E13</f>
        <v>23500</v>
      </c>
      <c r="F1160" s="1761">
        <f>D1160*E1160</f>
        <v>1880</v>
      </c>
      <c r="G1160" s="1761"/>
    </row>
    <row r="1161" spans="1:7" ht="13.8" x14ac:dyDescent="0.25">
      <c r="A1161" s="1788"/>
      <c r="B1161" s="1817"/>
      <c r="C1161" s="1789"/>
      <c r="D1161" s="1789"/>
      <c r="E1161" s="1789"/>
      <c r="F1161" s="1789">
        <f>D1161*E1161</f>
        <v>0</v>
      </c>
      <c r="G1161" s="1789"/>
    </row>
    <row r="1162" spans="1:7" ht="13.8" x14ac:dyDescent="0.25">
      <c r="A1162" s="1775"/>
      <c r="B1162" s="1776"/>
      <c r="C1162" s="1777"/>
      <c r="D1162" s="1777"/>
      <c r="E1162" s="1777"/>
      <c r="F1162" s="1789"/>
      <c r="G1162" s="1777"/>
    </row>
    <row r="1163" spans="1:7" ht="13.8" x14ac:dyDescent="0.25">
      <c r="A1163" s="1775"/>
      <c r="B1163" s="1775"/>
      <c r="C1163" s="1776"/>
      <c r="D1163" s="1777"/>
      <c r="E1163" s="1777"/>
      <c r="F1163" s="1777"/>
      <c r="G1163" s="1777"/>
    </row>
    <row r="1164" spans="1:7" ht="13.8" x14ac:dyDescent="0.25">
      <c r="A1164" s="1779"/>
      <c r="B1164" s="2723" t="s">
        <v>2112</v>
      </c>
      <c r="C1164" s="2723"/>
      <c r="D1164" s="2723"/>
      <c r="E1164" s="2723"/>
      <c r="F1164" s="1780"/>
      <c r="G1164" s="1781">
        <f>SUM(F1156:F1164)</f>
        <v>7021.9375</v>
      </c>
    </row>
    <row r="1165" spans="1:7" ht="13.8" x14ac:dyDescent="0.25">
      <c r="A1165" s="1775"/>
      <c r="B1165" s="1778" t="s">
        <v>2098</v>
      </c>
      <c r="C1165" s="1776"/>
      <c r="D1165" s="1777"/>
      <c r="E1165" s="1777"/>
      <c r="F1165" s="1777"/>
      <c r="G1165" s="1777"/>
    </row>
    <row r="1166" spans="1:7" ht="13.8" x14ac:dyDescent="0.25">
      <c r="A1166" s="1788"/>
      <c r="B1166" s="1788" t="s">
        <v>2240</v>
      </c>
      <c r="C1166" s="1789" t="s">
        <v>2126</v>
      </c>
      <c r="D1166" s="1789">
        <v>100</v>
      </c>
      <c r="E1166" s="1789">
        <v>65</v>
      </c>
      <c r="F1166" s="1789">
        <f>D1166*E1166</f>
        <v>6500</v>
      </c>
      <c r="G1166" s="1789"/>
    </row>
    <row r="1167" spans="1:7" ht="13.8" x14ac:dyDescent="0.25">
      <c r="A1167" s="1775"/>
      <c r="B1167" s="1775"/>
      <c r="C1167" s="1777"/>
      <c r="D1167" s="1777"/>
      <c r="E1167" s="1777"/>
      <c r="F1167" s="1777"/>
      <c r="G1167" s="1777"/>
    </row>
    <row r="1168" spans="1:7" ht="13.8" x14ac:dyDescent="0.25">
      <c r="A1168" s="1775"/>
      <c r="B1168" s="1775"/>
      <c r="C1168" s="1777"/>
      <c r="D1168" s="1777"/>
      <c r="E1168" s="1777"/>
      <c r="F1168" s="1777"/>
      <c r="G1168" s="1777"/>
    </row>
    <row r="1169" spans="1:7" ht="13.8" x14ac:dyDescent="0.25">
      <c r="A1169" s="1775"/>
      <c r="B1169" s="1775"/>
      <c r="C1169" s="1776"/>
      <c r="D1169" s="1777"/>
      <c r="E1169" s="1777"/>
      <c r="F1169" s="1777"/>
      <c r="G1169" s="1777"/>
    </row>
    <row r="1170" spans="1:7" ht="13.8" x14ac:dyDescent="0.25">
      <c r="A1170" s="1779"/>
      <c r="B1170" s="2723" t="s">
        <v>2100</v>
      </c>
      <c r="C1170" s="2723"/>
      <c r="D1170" s="2723"/>
      <c r="E1170" s="2723"/>
      <c r="F1170" s="1780">
        <f>D1170*E1170</f>
        <v>0</v>
      </c>
      <c r="G1170" s="1781">
        <f>SUM(F1166:F1170)</f>
        <v>6500</v>
      </c>
    </row>
    <row r="1171" spans="1:7" ht="13.8" x14ac:dyDescent="0.25">
      <c r="A1171" s="1775"/>
      <c r="B1171" s="1782"/>
      <c r="C1171" s="1782"/>
      <c r="D1171" s="1782"/>
      <c r="E1171" s="1782"/>
      <c r="F1171" s="1777"/>
      <c r="G1171" s="1782"/>
    </row>
    <row r="1172" spans="1:7" ht="13.8" x14ac:dyDescent="0.25">
      <c r="A1172" s="1775"/>
      <c r="B1172" s="1782"/>
      <c r="C1172" s="1782"/>
      <c r="D1172" s="1782"/>
      <c r="E1172" s="1782"/>
      <c r="F1172" s="1777"/>
      <c r="G1172" s="1782"/>
    </row>
    <row r="1173" spans="1:7" ht="13.8" x14ac:dyDescent="0.25">
      <c r="A1173" s="2716" t="s">
        <v>2127</v>
      </c>
      <c r="B1173" s="2716"/>
      <c r="C1173" s="2716"/>
      <c r="D1173" s="2716"/>
      <c r="E1173" s="2716"/>
      <c r="F1173" s="2716"/>
      <c r="G1173" s="1783">
        <f>G1164+G1170</f>
        <v>13521.9375</v>
      </c>
    </row>
    <row r="1174" spans="1:7" ht="13.8" x14ac:dyDescent="0.25">
      <c r="A1174" s="2716" t="s">
        <v>2128</v>
      </c>
      <c r="B1174" s="2716"/>
      <c r="C1174" s="2716"/>
      <c r="D1174" s="2716"/>
      <c r="E1174" s="2716"/>
      <c r="F1174" s="2716"/>
      <c r="G1174" s="1783">
        <f>G1173/9.29</f>
        <v>1455.5368675995696</v>
      </c>
    </row>
    <row r="1175" spans="1:7" ht="13.8" x14ac:dyDescent="0.25">
      <c r="A1175" s="2716" t="s">
        <v>2129</v>
      </c>
      <c r="B1175" s="2716"/>
      <c r="C1175" s="2716"/>
      <c r="D1175" s="2716"/>
      <c r="E1175" s="2716"/>
      <c r="F1175" s="2716"/>
      <c r="G1175" s="1829">
        <f>G1174/10.76</f>
        <v>135.27294308546186</v>
      </c>
    </row>
    <row r="1238" spans="1:9" x14ac:dyDescent="0.25">
      <c r="A1238" s="2733" t="s">
        <v>579</v>
      </c>
      <c r="B1238" s="2733"/>
      <c r="C1238" s="2733"/>
      <c r="D1238" s="2733"/>
      <c r="E1238" s="2733"/>
      <c r="F1238" s="2733"/>
      <c r="G1238" s="2733"/>
    </row>
    <row r="1240" spans="1:9" ht="13.8" thickBot="1" x14ac:dyDescent="0.3"/>
    <row r="1241" spans="1:9" ht="13.8" x14ac:dyDescent="0.25">
      <c r="A1241" s="2717" t="s">
        <v>2246</v>
      </c>
      <c r="B1241" s="2718"/>
      <c r="C1241" s="2718"/>
      <c r="D1241" s="2718"/>
      <c r="E1241" s="2718"/>
      <c r="F1241" s="2718"/>
      <c r="G1241" s="2719"/>
    </row>
    <row r="1242" spans="1:9" ht="14.4" thickBot="1" x14ac:dyDescent="0.3">
      <c r="A1242" s="2720" t="s">
        <v>2093</v>
      </c>
      <c r="B1242" s="2721"/>
      <c r="C1242" s="2721"/>
      <c r="D1242" s="2721"/>
      <c r="E1242" s="2721"/>
      <c r="F1242" s="2721"/>
      <c r="G1242" s="2722"/>
    </row>
    <row r="1243" spans="1:9" ht="14.4" thickBot="1" x14ac:dyDescent="0.3">
      <c r="A1243" s="1773"/>
      <c r="B1243" s="1774" t="s">
        <v>2094</v>
      </c>
      <c r="C1243" s="1774" t="s">
        <v>2095</v>
      </c>
      <c r="D1243" s="1774" t="s">
        <v>2</v>
      </c>
      <c r="E1243" s="1774" t="s">
        <v>2096</v>
      </c>
      <c r="F1243" s="1774" t="s">
        <v>5</v>
      </c>
      <c r="G1243" s="1774" t="s">
        <v>2097</v>
      </c>
    </row>
    <row r="1244" spans="1:9" ht="13.8" x14ac:dyDescent="0.25">
      <c r="A1244" s="1775"/>
      <c r="B1244" s="1775"/>
      <c r="C1244" s="1776"/>
      <c r="D1244" s="1777"/>
      <c r="E1244" s="1777"/>
      <c r="F1244" s="1777"/>
      <c r="G1244" s="1777"/>
      <c r="I1244" s="2014">
        <f>5000/10.76</f>
        <v>464.68401486988847</v>
      </c>
    </row>
    <row r="1245" spans="1:9" ht="13.8" x14ac:dyDescent="0.25">
      <c r="A1245" s="1775"/>
      <c r="B1245" s="1778" t="s">
        <v>2111</v>
      </c>
      <c r="C1245" s="1776"/>
      <c r="D1245" s="1777"/>
      <c r="E1245" s="1777"/>
      <c r="F1245" s="1777"/>
      <c r="G1245" s="1777"/>
    </row>
    <row r="1246" spans="1:9" ht="13.8" x14ac:dyDescent="0.25">
      <c r="A1246" s="1830"/>
      <c r="B1246" s="1830" t="s">
        <v>2256</v>
      </c>
      <c r="C1246" s="1831" t="s">
        <v>2126</v>
      </c>
      <c r="D1246" s="1831">
        <v>100</v>
      </c>
      <c r="E1246" s="1831">
        <v>500</v>
      </c>
      <c r="F1246" s="1831">
        <f t="shared" ref="F1246" si="101">D1246*E1246</f>
        <v>50000</v>
      </c>
      <c r="G1246" s="1831"/>
    </row>
    <row r="1247" spans="1:9" ht="13.8" x14ac:dyDescent="0.25">
      <c r="A1247" s="1775"/>
      <c r="B1247" s="1790" t="s">
        <v>2216</v>
      </c>
      <c r="C1247" s="1776"/>
      <c r="D1247" s="1777"/>
      <c r="E1247" s="1777"/>
      <c r="F1247" s="1777">
        <f>F1246*5%</f>
        <v>2500</v>
      </c>
      <c r="G1247" s="1777"/>
    </row>
    <row r="1248" spans="1:9" ht="13.8" x14ac:dyDescent="0.25">
      <c r="A1248" s="1830"/>
      <c r="B1248" s="1830" t="s">
        <v>2159</v>
      </c>
      <c r="C1248" s="1831" t="s">
        <v>1945</v>
      </c>
      <c r="D1248" s="1831">
        <v>1.75</v>
      </c>
      <c r="E1248" s="1831">
        <f>F197</f>
        <v>2235.625</v>
      </c>
      <c r="F1248" s="1831">
        <f>D1248*E1248</f>
        <v>3912.34375</v>
      </c>
      <c r="G1248" s="1831"/>
    </row>
    <row r="1249" spans="1:7" ht="13.8" x14ac:dyDescent="0.25">
      <c r="A1249" s="1830"/>
      <c r="B1249" s="1830" t="s">
        <v>1947</v>
      </c>
      <c r="C1249" s="1831" t="s">
        <v>131</v>
      </c>
      <c r="D1249" s="1831">
        <v>0.08</v>
      </c>
      <c r="E1249" s="1831">
        <f>Material!E13</f>
        <v>23500</v>
      </c>
      <c r="F1249" s="1831">
        <f>D1249*E1249</f>
        <v>1880</v>
      </c>
      <c r="G1249" s="1831"/>
    </row>
    <row r="1250" spans="1:7" ht="13.8" x14ac:dyDescent="0.25">
      <c r="A1250" s="1830"/>
      <c r="B1250" s="1830" t="s">
        <v>2248</v>
      </c>
      <c r="C1250" s="1831" t="s">
        <v>1945</v>
      </c>
      <c r="D1250" s="1831">
        <v>2.5</v>
      </c>
      <c r="E1250" s="1831">
        <f>Material!E137</f>
        <v>1800</v>
      </c>
      <c r="F1250" s="1831">
        <f t="shared" ref="F1250:F1251" si="102">D1250*E1250</f>
        <v>4500</v>
      </c>
      <c r="G1250" s="1831"/>
    </row>
    <row r="1251" spans="1:7" ht="13.8" x14ac:dyDescent="0.25">
      <c r="A1251" s="1830"/>
      <c r="B1251" s="1830" t="s">
        <v>2249</v>
      </c>
      <c r="C1251" s="1831" t="s">
        <v>1945</v>
      </c>
      <c r="D1251" s="1831">
        <v>1</v>
      </c>
      <c r="E1251" s="1831">
        <f>Material!E138</f>
        <v>280</v>
      </c>
      <c r="F1251" s="1831">
        <f t="shared" si="102"/>
        <v>280</v>
      </c>
      <c r="G1251" s="1831"/>
    </row>
    <row r="1252" spans="1:7" ht="13.8" x14ac:dyDescent="0.25">
      <c r="A1252" s="1830"/>
      <c r="B1252" s="1832" t="s">
        <v>2076</v>
      </c>
      <c r="C1252" s="1831" t="s">
        <v>2250</v>
      </c>
      <c r="D1252" s="1831"/>
      <c r="E1252" s="1831"/>
      <c r="F1252" s="1831">
        <v>500</v>
      </c>
      <c r="G1252" s="1831"/>
    </row>
    <row r="1253" spans="1:7" ht="13.8" x14ac:dyDescent="0.25">
      <c r="A1253" s="1775"/>
      <c r="B1253" s="1776"/>
      <c r="C1253" s="1777"/>
      <c r="D1253" s="1777"/>
      <c r="E1253" s="1777"/>
      <c r="F1253" s="1777"/>
      <c r="G1253" s="1777"/>
    </row>
    <row r="1254" spans="1:7" ht="13.8" x14ac:dyDescent="0.25">
      <c r="A1254" s="1775"/>
      <c r="B1254" s="1776" t="s">
        <v>2251</v>
      </c>
      <c r="C1254" s="1777"/>
      <c r="D1254" s="1777"/>
      <c r="E1254" s="1777"/>
      <c r="F1254" s="1777">
        <v>1000</v>
      </c>
      <c r="G1254" s="1777"/>
    </row>
    <row r="1255" spans="1:7" ht="13.8" x14ac:dyDescent="0.25">
      <c r="A1255" s="1775"/>
      <c r="B1255" s="1776"/>
      <c r="C1255" s="1777"/>
      <c r="D1255" s="1777"/>
      <c r="E1255" s="1777"/>
      <c r="F1255" s="1777"/>
      <c r="G1255" s="1777"/>
    </row>
    <row r="1256" spans="1:7" ht="13.8" x14ac:dyDescent="0.25">
      <c r="A1256" s="1775"/>
      <c r="B1256" s="1775"/>
      <c r="C1256" s="1776"/>
      <c r="D1256" s="1777"/>
      <c r="E1256" s="1777"/>
      <c r="F1256" s="1777">
        <f t="shared" ref="F1256" si="103">D1256*E1256</f>
        <v>0</v>
      </c>
      <c r="G1256" s="1777"/>
    </row>
    <row r="1257" spans="1:7" ht="13.8" x14ac:dyDescent="0.25">
      <c r="A1257" s="1779"/>
      <c r="B1257" s="2723" t="s">
        <v>2112</v>
      </c>
      <c r="C1257" s="2723"/>
      <c r="D1257" s="2723"/>
      <c r="E1257" s="2723"/>
      <c r="F1257" s="1780"/>
      <c r="G1257" s="1781">
        <f>SUM(F1246:F1257)</f>
        <v>64572.34375</v>
      </c>
    </row>
    <row r="1258" spans="1:7" ht="13.8" x14ac:dyDescent="0.25">
      <c r="A1258" s="1775"/>
      <c r="B1258" s="1778" t="s">
        <v>2098</v>
      </c>
      <c r="C1258" s="1776"/>
      <c r="D1258" s="1777"/>
      <c r="E1258" s="1777"/>
      <c r="F1258" s="1777">
        <f t="shared" ref="F1258:F1259" si="104">D1258*E1258</f>
        <v>0</v>
      </c>
      <c r="G1258" s="1777"/>
    </row>
    <row r="1259" spans="1:7" ht="13.8" x14ac:dyDescent="0.25">
      <c r="A1259" s="1830"/>
      <c r="B1259" s="1830" t="s">
        <v>2106</v>
      </c>
      <c r="C1259" s="1831" t="s">
        <v>2126</v>
      </c>
      <c r="D1259" s="1831">
        <v>100</v>
      </c>
      <c r="E1259" s="1831">
        <v>95</v>
      </c>
      <c r="F1259" s="1831">
        <f t="shared" si="104"/>
        <v>9500</v>
      </c>
      <c r="G1259" s="1831"/>
    </row>
    <row r="1260" spans="1:7" ht="13.8" x14ac:dyDescent="0.25">
      <c r="A1260" s="1775"/>
      <c r="B1260" s="1775"/>
      <c r="C1260" s="1777"/>
      <c r="D1260" s="1777"/>
      <c r="E1260" s="1777"/>
      <c r="F1260" s="1777"/>
      <c r="G1260" s="1777"/>
    </row>
    <row r="1261" spans="1:7" ht="13.8" x14ac:dyDescent="0.25">
      <c r="A1261" s="1775"/>
      <c r="B1261" s="1775"/>
      <c r="C1261" s="1777"/>
      <c r="D1261" s="1777"/>
      <c r="E1261" s="1777"/>
      <c r="F1261" s="1777"/>
      <c r="G1261" s="1777"/>
    </row>
    <row r="1262" spans="1:7" ht="13.8" x14ac:dyDescent="0.25">
      <c r="A1262" s="1775"/>
      <c r="B1262" s="1775"/>
      <c r="C1262" s="1776"/>
      <c r="D1262" s="1777"/>
      <c r="E1262" s="1777"/>
      <c r="F1262" s="1777"/>
      <c r="G1262" s="1777"/>
    </row>
    <row r="1263" spans="1:7" ht="13.8" x14ac:dyDescent="0.25">
      <c r="A1263" s="1779"/>
      <c r="B1263" s="2723" t="s">
        <v>2100</v>
      </c>
      <c r="C1263" s="2723"/>
      <c r="D1263" s="2723"/>
      <c r="E1263" s="2723"/>
      <c r="F1263" s="1780">
        <f t="shared" ref="F1263" si="105">D1263*E1263</f>
        <v>0</v>
      </c>
      <c r="G1263" s="1781">
        <f>SUM(F1259:F1263)</f>
        <v>9500</v>
      </c>
    </row>
    <row r="1264" spans="1:7" ht="13.8" x14ac:dyDescent="0.25">
      <c r="A1264" s="1775"/>
      <c r="B1264" s="1782"/>
      <c r="C1264" s="1782"/>
      <c r="D1264" s="1782"/>
      <c r="E1264" s="1782"/>
      <c r="F1264" s="1777"/>
      <c r="G1264" s="1782"/>
    </row>
    <row r="1265" spans="1:7" ht="13.8" x14ac:dyDescent="0.25">
      <c r="A1265" s="1775"/>
      <c r="B1265" s="1782"/>
      <c r="C1265" s="1782"/>
      <c r="D1265" s="1782"/>
      <c r="E1265" s="1782"/>
      <c r="F1265" s="1777"/>
      <c r="G1265" s="1782"/>
    </row>
    <row r="1266" spans="1:7" ht="13.8" x14ac:dyDescent="0.25">
      <c r="A1266" s="2716" t="s">
        <v>2127</v>
      </c>
      <c r="B1266" s="2716"/>
      <c r="C1266" s="2716"/>
      <c r="D1266" s="2716"/>
      <c r="E1266" s="2716"/>
      <c r="F1266" s="2716"/>
      <c r="G1266" s="1783">
        <f>G1257+G1263</f>
        <v>74072.34375</v>
      </c>
    </row>
    <row r="1267" spans="1:7" ht="13.8" x14ac:dyDescent="0.25">
      <c r="A1267" s="2716" t="s">
        <v>2128</v>
      </c>
      <c r="B1267" s="2716"/>
      <c r="C1267" s="2716"/>
      <c r="D1267" s="2716"/>
      <c r="E1267" s="2716"/>
      <c r="F1267" s="2716"/>
      <c r="G1267" s="1783">
        <f>G1266/9.29</f>
        <v>7973.3416307857915</v>
      </c>
    </row>
    <row r="1268" spans="1:7" ht="13.8" x14ac:dyDescent="0.25">
      <c r="A1268" s="2716" t="s">
        <v>2129</v>
      </c>
      <c r="B1268" s="2716"/>
      <c r="C1268" s="2716"/>
      <c r="D1268" s="2716"/>
      <c r="E1268" s="2716"/>
      <c r="F1268" s="2716"/>
      <c r="G1268" s="1822">
        <f>G1267/10.76</f>
        <v>741.01688018455309</v>
      </c>
    </row>
    <row r="1270" spans="1:7" ht="13.8" thickBot="1" x14ac:dyDescent="0.3"/>
    <row r="1271" spans="1:7" ht="13.8" x14ac:dyDescent="0.25">
      <c r="A1271" s="2717" t="s">
        <v>2252</v>
      </c>
      <c r="B1271" s="2718"/>
      <c r="C1271" s="2718"/>
      <c r="D1271" s="2718"/>
      <c r="E1271" s="2718"/>
      <c r="F1271" s="2718"/>
      <c r="G1271" s="2719"/>
    </row>
    <row r="1272" spans="1:7" ht="14.4" thickBot="1" x14ac:dyDescent="0.3">
      <c r="A1272" s="2720" t="s">
        <v>2093</v>
      </c>
      <c r="B1272" s="2721"/>
      <c r="C1272" s="2721"/>
      <c r="D1272" s="2721"/>
      <c r="E1272" s="2721"/>
      <c r="F1272" s="2721"/>
      <c r="G1272" s="2722"/>
    </row>
    <row r="1273" spans="1:7" ht="14.4" thickBot="1" x14ac:dyDescent="0.3">
      <c r="A1273" s="1773"/>
      <c r="B1273" s="1774" t="s">
        <v>2094</v>
      </c>
      <c r="C1273" s="1774" t="s">
        <v>2095</v>
      </c>
      <c r="D1273" s="1774" t="s">
        <v>2</v>
      </c>
      <c r="E1273" s="1774" t="s">
        <v>2096</v>
      </c>
      <c r="F1273" s="1774" t="s">
        <v>5</v>
      </c>
      <c r="G1273" s="1774" t="s">
        <v>2097</v>
      </c>
    </row>
    <row r="1274" spans="1:7" ht="13.8" x14ac:dyDescent="0.25">
      <c r="A1274" s="1775"/>
      <c r="B1274" s="1775"/>
      <c r="C1274" s="1776"/>
      <c r="D1274" s="1777"/>
      <c r="E1274" s="1777"/>
      <c r="F1274" s="1777"/>
      <c r="G1274" s="1777"/>
    </row>
    <row r="1275" spans="1:7" ht="13.8" x14ac:dyDescent="0.25">
      <c r="A1275" s="1775"/>
      <c r="B1275" s="1778" t="s">
        <v>2111</v>
      </c>
      <c r="C1275" s="1776"/>
      <c r="D1275" s="1777"/>
      <c r="E1275" s="1777"/>
      <c r="F1275" s="1777"/>
      <c r="G1275" s="1777"/>
    </row>
    <row r="1276" spans="1:7" ht="13.8" x14ac:dyDescent="0.25">
      <c r="A1276" s="1830"/>
      <c r="B1276" s="1830" t="s">
        <v>2611</v>
      </c>
      <c r="C1276" s="1831" t="s">
        <v>2126</v>
      </c>
      <c r="D1276" s="1831">
        <v>100</v>
      </c>
      <c r="E1276" s="1831">
        <v>550</v>
      </c>
      <c r="F1276" s="1831">
        <f t="shared" ref="F1276" si="106">D1276*E1276</f>
        <v>55000</v>
      </c>
      <c r="G1276" s="1831"/>
    </row>
    <row r="1277" spans="1:7" ht="13.8" x14ac:dyDescent="0.25">
      <c r="A1277" s="1775"/>
      <c r="B1277" s="1790" t="s">
        <v>2216</v>
      </c>
      <c r="C1277" s="1776"/>
      <c r="D1277" s="1777"/>
      <c r="E1277" s="1777"/>
      <c r="F1277" s="1777">
        <f>F1276*5%</f>
        <v>2750</v>
      </c>
      <c r="G1277" s="1777"/>
    </row>
    <row r="1278" spans="1:7" ht="13.8" x14ac:dyDescent="0.25">
      <c r="A1278" s="1830"/>
      <c r="B1278" s="1830" t="s">
        <v>2159</v>
      </c>
      <c r="C1278" s="1831" t="s">
        <v>1945</v>
      </c>
      <c r="D1278" s="1831">
        <v>1.75</v>
      </c>
      <c r="E1278" s="1831">
        <f>F197</f>
        <v>2235.625</v>
      </c>
      <c r="F1278" s="1831">
        <f>D1278*E1278</f>
        <v>3912.34375</v>
      </c>
      <c r="G1278" s="1831"/>
    </row>
    <row r="1279" spans="1:7" ht="13.8" x14ac:dyDescent="0.25">
      <c r="A1279" s="1830"/>
      <c r="B1279" s="1830" t="s">
        <v>1947</v>
      </c>
      <c r="C1279" s="1831" t="s">
        <v>131</v>
      </c>
      <c r="D1279" s="1831">
        <v>0.08</v>
      </c>
      <c r="E1279" s="1831">
        <f>Material!E13</f>
        <v>23500</v>
      </c>
      <c r="F1279" s="1831">
        <f>D1279*E1279</f>
        <v>1880</v>
      </c>
      <c r="G1279" s="1831"/>
    </row>
    <row r="1280" spans="1:7" ht="13.8" x14ac:dyDescent="0.25">
      <c r="A1280" s="1830"/>
      <c r="B1280" s="1830" t="s">
        <v>2254</v>
      </c>
      <c r="C1280" s="1831" t="s">
        <v>1945</v>
      </c>
      <c r="D1280" s="1831">
        <v>2.86</v>
      </c>
      <c r="E1280" s="1831">
        <f>Material!E137</f>
        <v>1800</v>
      </c>
      <c r="F1280" s="1831">
        <f t="shared" ref="F1280:F1281" si="107">D1280*E1280</f>
        <v>5148</v>
      </c>
      <c r="G1280" s="1831"/>
    </row>
    <row r="1281" spans="1:7" ht="13.8" x14ac:dyDescent="0.25">
      <c r="A1281" s="1830"/>
      <c r="B1281" s="1830" t="s">
        <v>2249</v>
      </c>
      <c r="C1281" s="1831" t="s">
        <v>1945</v>
      </c>
      <c r="D1281" s="1831">
        <v>1</v>
      </c>
      <c r="E1281" s="1831">
        <f>Material!E138</f>
        <v>280</v>
      </c>
      <c r="F1281" s="1831">
        <f t="shared" si="107"/>
        <v>280</v>
      </c>
      <c r="G1281" s="1831"/>
    </row>
    <row r="1282" spans="1:7" ht="13.8" x14ac:dyDescent="0.25">
      <c r="A1282" s="1830"/>
      <c r="B1282" s="1832" t="s">
        <v>2076</v>
      </c>
      <c r="C1282" s="1831" t="s">
        <v>2250</v>
      </c>
      <c r="D1282" s="1831"/>
      <c r="E1282" s="1831"/>
      <c r="F1282" s="1831">
        <v>500</v>
      </c>
      <c r="G1282" s="1831"/>
    </row>
    <row r="1283" spans="1:7" ht="13.8" x14ac:dyDescent="0.25">
      <c r="A1283" s="1775"/>
      <c r="B1283" s="1776"/>
      <c r="C1283" s="1777"/>
      <c r="D1283" s="1777"/>
      <c r="E1283" s="1777"/>
      <c r="F1283" s="1777"/>
      <c r="G1283" s="1777"/>
    </row>
    <row r="1284" spans="1:7" ht="13.8" x14ac:dyDescent="0.25">
      <c r="A1284" s="1775"/>
      <c r="B1284" s="1776" t="s">
        <v>2251</v>
      </c>
      <c r="C1284" s="1777"/>
      <c r="D1284" s="1777"/>
      <c r="E1284" s="1777"/>
      <c r="F1284" s="1777">
        <v>1000</v>
      </c>
      <c r="G1284" s="1777"/>
    </row>
    <row r="1285" spans="1:7" ht="13.8" x14ac:dyDescent="0.25">
      <c r="A1285" s="1775"/>
      <c r="B1285" s="1776"/>
      <c r="C1285" s="1777"/>
      <c r="D1285" s="1777"/>
      <c r="E1285" s="1777"/>
      <c r="F1285" s="1777"/>
      <c r="G1285" s="1777"/>
    </row>
    <row r="1286" spans="1:7" ht="13.8" x14ac:dyDescent="0.25">
      <c r="A1286" s="1775"/>
      <c r="B1286" s="1775"/>
      <c r="C1286" s="1776"/>
      <c r="D1286" s="1777"/>
      <c r="E1286" s="1777"/>
      <c r="F1286" s="1777">
        <f t="shared" ref="F1286" si="108">D1286*E1286</f>
        <v>0</v>
      </c>
      <c r="G1286" s="1777"/>
    </row>
    <row r="1287" spans="1:7" ht="13.8" x14ac:dyDescent="0.25">
      <c r="A1287" s="1779"/>
      <c r="B1287" s="2723" t="s">
        <v>2112</v>
      </c>
      <c r="C1287" s="2723"/>
      <c r="D1287" s="2723"/>
      <c r="E1287" s="2723"/>
      <c r="F1287" s="1780"/>
      <c r="G1287" s="1781">
        <f>SUM(F1276:F1287)</f>
        <v>70470.34375</v>
      </c>
    </row>
    <row r="1288" spans="1:7" ht="13.8" x14ac:dyDescent="0.25">
      <c r="A1288" s="1775"/>
      <c r="B1288" s="1778" t="s">
        <v>2098</v>
      </c>
      <c r="C1288" s="1776"/>
      <c r="D1288" s="1777"/>
      <c r="E1288" s="1777"/>
      <c r="F1288" s="1777">
        <f t="shared" ref="F1288:F1289" si="109">D1288*E1288</f>
        <v>0</v>
      </c>
      <c r="G1288" s="1777"/>
    </row>
    <row r="1289" spans="1:7" ht="13.8" x14ac:dyDescent="0.25">
      <c r="A1289" s="1830"/>
      <c r="B1289" s="1830" t="s">
        <v>2106</v>
      </c>
      <c r="C1289" s="1831" t="s">
        <v>2126</v>
      </c>
      <c r="D1289" s="1831">
        <v>100</v>
      </c>
      <c r="E1289" s="1831">
        <v>160</v>
      </c>
      <c r="F1289" s="1831">
        <f t="shared" si="109"/>
        <v>16000</v>
      </c>
      <c r="G1289" s="1831"/>
    </row>
    <row r="1290" spans="1:7" ht="13.8" x14ac:dyDescent="0.25">
      <c r="A1290" s="1775"/>
      <c r="B1290" s="1775"/>
      <c r="C1290" s="1777"/>
      <c r="D1290" s="1777"/>
      <c r="E1290" s="1777"/>
      <c r="F1290" s="1777"/>
      <c r="G1290" s="1777"/>
    </row>
    <row r="1291" spans="1:7" ht="13.8" x14ac:dyDescent="0.25">
      <c r="A1291" s="1775"/>
      <c r="B1291" s="1775"/>
      <c r="C1291" s="1777"/>
      <c r="D1291" s="1777"/>
      <c r="E1291" s="1777"/>
      <c r="F1291" s="1777"/>
      <c r="G1291" s="1777"/>
    </row>
    <row r="1292" spans="1:7" ht="13.8" x14ac:dyDescent="0.25">
      <c r="A1292" s="1775"/>
      <c r="B1292" s="1775"/>
      <c r="C1292" s="1776"/>
      <c r="D1292" s="1777"/>
      <c r="E1292" s="1777"/>
      <c r="F1292" s="1777"/>
      <c r="G1292" s="1777"/>
    </row>
    <row r="1293" spans="1:7" ht="13.8" x14ac:dyDescent="0.25">
      <c r="A1293" s="1779"/>
      <c r="B1293" s="2723" t="s">
        <v>2100</v>
      </c>
      <c r="C1293" s="2723"/>
      <c r="D1293" s="2723"/>
      <c r="E1293" s="2723"/>
      <c r="F1293" s="1780">
        <f t="shared" ref="F1293" si="110">D1293*E1293</f>
        <v>0</v>
      </c>
      <c r="G1293" s="1781">
        <f>SUM(F1289:F1293)</f>
        <v>16000</v>
      </c>
    </row>
    <row r="1294" spans="1:7" ht="13.8" x14ac:dyDescent="0.25">
      <c r="A1294" s="1775"/>
      <c r="B1294" s="1782"/>
      <c r="C1294" s="1782"/>
      <c r="D1294" s="1782"/>
      <c r="E1294" s="1782"/>
      <c r="F1294" s="1777"/>
      <c r="G1294" s="1782"/>
    </row>
    <row r="1295" spans="1:7" ht="13.8" x14ac:dyDescent="0.25">
      <c r="A1295" s="1775"/>
      <c r="B1295" s="1782"/>
      <c r="C1295" s="1782"/>
      <c r="D1295" s="1782"/>
      <c r="E1295" s="1782"/>
      <c r="F1295" s="1777"/>
      <c r="G1295" s="1782"/>
    </row>
    <row r="1296" spans="1:7" ht="13.8" x14ac:dyDescent="0.25">
      <c r="A1296" s="2716" t="s">
        <v>2127</v>
      </c>
      <c r="B1296" s="2716"/>
      <c r="C1296" s="2716"/>
      <c r="D1296" s="2716"/>
      <c r="E1296" s="2716"/>
      <c r="F1296" s="2716"/>
      <c r="G1296" s="1783">
        <f>G1287+G1293</f>
        <v>86470.34375</v>
      </c>
    </row>
    <row r="1297" spans="1:29" ht="13.8" x14ac:dyDescent="0.25">
      <c r="A1297" s="2716" t="s">
        <v>2128</v>
      </c>
      <c r="B1297" s="2716"/>
      <c r="C1297" s="2716"/>
      <c r="D1297" s="2716"/>
      <c r="E1297" s="2716"/>
      <c r="F1297" s="2716"/>
      <c r="G1297" s="1783">
        <f>G1296/9.29</f>
        <v>9307.8949138858989</v>
      </c>
    </row>
    <row r="1298" spans="1:29" ht="13.8" x14ac:dyDescent="0.25">
      <c r="A1298" s="2716" t="s">
        <v>2129</v>
      </c>
      <c r="B1298" s="2716"/>
      <c r="C1298" s="2716"/>
      <c r="D1298" s="2716"/>
      <c r="E1298" s="2716"/>
      <c r="F1298" s="2716"/>
      <c r="G1298" s="1822">
        <f>G1297/10.76</f>
        <v>865.04599571430288</v>
      </c>
    </row>
    <row r="1299" spans="1:29" ht="13.8" thickBot="1" x14ac:dyDescent="0.3"/>
    <row r="1300" spans="1:29" ht="13.8" x14ac:dyDescent="0.25">
      <c r="A1300" s="2717" t="s">
        <v>2255</v>
      </c>
      <c r="B1300" s="2718"/>
      <c r="C1300" s="2718"/>
      <c r="D1300" s="2718"/>
      <c r="E1300" s="2718"/>
      <c r="F1300" s="2718"/>
      <c r="G1300" s="2719"/>
    </row>
    <row r="1301" spans="1:29" ht="14.4" thickBot="1" x14ac:dyDescent="0.3">
      <c r="A1301" s="2720" t="s">
        <v>2093</v>
      </c>
      <c r="B1301" s="2721"/>
      <c r="C1301" s="2721"/>
      <c r="D1301" s="2721"/>
      <c r="E1301" s="2721"/>
      <c r="F1301" s="2721"/>
      <c r="G1301" s="2722"/>
    </row>
    <row r="1302" spans="1:29" ht="14.4" thickBot="1" x14ac:dyDescent="0.3">
      <c r="A1302" s="1773"/>
      <c r="B1302" s="1774" t="s">
        <v>2094</v>
      </c>
      <c r="C1302" s="1774" t="s">
        <v>2095</v>
      </c>
      <c r="D1302" s="1774" t="s">
        <v>2</v>
      </c>
      <c r="E1302" s="1774" t="s">
        <v>2096</v>
      </c>
      <c r="F1302" s="1774" t="s">
        <v>5</v>
      </c>
      <c r="G1302" s="1774" t="s">
        <v>2097</v>
      </c>
    </row>
    <row r="1303" spans="1:29" ht="14.4" thickBot="1" x14ac:dyDescent="0.3">
      <c r="A1303" s="1775"/>
      <c r="B1303" s="1775"/>
      <c r="C1303" s="1776"/>
      <c r="D1303" s="1777"/>
      <c r="E1303" s="1777"/>
      <c r="F1303" s="1777"/>
      <c r="G1303" s="1777"/>
    </row>
    <row r="1304" spans="1:29" ht="13.8" x14ac:dyDescent="0.25">
      <c r="A1304" s="1775"/>
      <c r="B1304" s="1778" t="s">
        <v>2111</v>
      </c>
      <c r="C1304" s="1776"/>
      <c r="D1304" s="1777"/>
      <c r="E1304" s="1777"/>
      <c r="F1304" s="1777"/>
      <c r="G1304" s="1777"/>
      <c r="K1304" s="1772"/>
      <c r="L1304" s="1772"/>
      <c r="M1304" s="1772"/>
      <c r="N1304" s="1772"/>
      <c r="O1304" s="2717" t="s">
        <v>2246</v>
      </c>
      <c r="P1304" s="2718"/>
      <c r="Q1304" s="2718"/>
      <c r="R1304" s="2718"/>
      <c r="S1304" s="2718"/>
      <c r="T1304" s="2718"/>
      <c r="U1304" s="2719"/>
      <c r="Y1304" s="1809"/>
      <c r="Z1304" s="1809"/>
      <c r="AA1304" s="1809"/>
      <c r="AB1304" s="1809"/>
      <c r="AC1304" s="1809"/>
    </row>
    <row r="1305" spans="1:29" ht="14.4" thickBot="1" x14ac:dyDescent="0.3">
      <c r="A1305" s="1830"/>
      <c r="B1305" s="1830" t="s">
        <v>2253</v>
      </c>
      <c r="C1305" s="1831" t="s">
        <v>2126</v>
      </c>
      <c r="D1305" s="1831">
        <v>100</v>
      </c>
      <c r="E1305" s="1831">
        <v>900</v>
      </c>
      <c r="F1305" s="1831">
        <f t="shared" ref="F1305" si="111">D1305*E1305</f>
        <v>90000</v>
      </c>
      <c r="G1305" s="1831"/>
      <c r="K1305" s="1772"/>
      <c r="L1305" s="1772"/>
      <c r="M1305" s="1772"/>
      <c r="N1305" s="1772"/>
      <c r="O1305" s="2720" t="s">
        <v>2093</v>
      </c>
      <c r="P1305" s="2721"/>
      <c r="Q1305" s="2721"/>
      <c r="R1305" s="2721"/>
      <c r="S1305" s="2721"/>
      <c r="T1305" s="2721"/>
      <c r="U1305" s="2722"/>
      <c r="Y1305" s="1809"/>
      <c r="Z1305" s="1809"/>
      <c r="AA1305" s="1809"/>
      <c r="AB1305" s="1809"/>
      <c r="AC1305" s="1809"/>
    </row>
    <row r="1306" spans="1:29" ht="14.4" thickBot="1" x14ac:dyDescent="0.3">
      <c r="A1306" s="1775"/>
      <c r="B1306" s="1790" t="s">
        <v>2216</v>
      </c>
      <c r="C1306" s="1776"/>
      <c r="D1306" s="1777"/>
      <c r="E1306" s="1777"/>
      <c r="F1306" s="1777">
        <f>F1305*5%</f>
        <v>4500</v>
      </c>
      <c r="G1306" s="1777"/>
      <c r="K1306" s="1772"/>
      <c r="L1306" s="1772"/>
      <c r="M1306" s="1772"/>
      <c r="N1306" s="1772"/>
      <c r="O1306" s="1773"/>
      <c r="P1306" s="1774" t="s">
        <v>2094</v>
      </c>
      <c r="Q1306" s="1774" t="s">
        <v>2095</v>
      </c>
      <c r="R1306" s="1774" t="s">
        <v>2</v>
      </c>
      <c r="S1306" s="1774" t="s">
        <v>2096</v>
      </c>
      <c r="T1306" s="1774" t="s">
        <v>5</v>
      </c>
      <c r="U1306" s="1774" t="s">
        <v>2097</v>
      </c>
      <c r="Y1306" s="1809"/>
      <c r="Z1306" s="1809"/>
      <c r="AA1306" s="1809"/>
      <c r="AB1306" s="1809"/>
      <c r="AC1306" s="1809"/>
    </row>
    <row r="1307" spans="1:29" ht="13.8" x14ac:dyDescent="0.25">
      <c r="A1307" s="1830"/>
      <c r="B1307" s="1830" t="s">
        <v>2159</v>
      </c>
      <c r="C1307" s="1831" t="s">
        <v>1945</v>
      </c>
      <c r="D1307" s="1831">
        <v>1.75</v>
      </c>
      <c r="E1307" s="1831">
        <f>F197</f>
        <v>2235.625</v>
      </c>
      <c r="F1307" s="1831">
        <f>D1307*E1307</f>
        <v>3912.34375</v>
      </c>
      <c r="G1307" s="1831"/>
      <c r="K1307" s="1772"/>
      <c r="L1307" s="1772"/>
      <c r="M1307" s="1772"/>
      <c r="N1307" s="1772"/>
      <c r="O1307" s="1775"/>
      <c r="P1307" s="1775"/>
      <c r="Q1307" s="1776"/>
      <c r="R1307" s="1777"/>
      <c r="S1307" s="1777"/>
      <c r="T1307" s="1777"/>
      <c r="U1307" s="1777"/>
      <c r="Y1307" s="1809"/>
      <c r="Z1307" s="1809"/>
      <c r="AA1307" s="1809"/>
      <c r="AB1307" s="1809"/>
      <c r="AC1307" s="1809"/>
    </row>
    <row r="1308" spans="1:29" ht="13.8" x14ac:dyDescent="0.25">
      <c r="A1308" s="1830"/>
      <c r="B1308" s="1830" t="s">
        <v>1947</v>
      </c>
      <c r="C1308" s="1831" t="s">
        <v>131</v>
      </c>
      <c r="D1308" s="1831">
        <v>0.08</v>
      </c>
      <c r="E1308" s="1831">
        <f>Material!E13</f>
        <v>23500</v>
      </c>
      <c r="F1308" s="1831">
        <f>D1308*E1308</f>
        <v>1880</v>
      </c>
      <c r="G1308" s="1831"/>
      <c r="K1308" s="1772"/>
      <c r="L1308" s="1772"/>
      <c r="M1308" s="1772"/>
      <c r="N1308" s="1772"/>
      <c r="O1308" s="1775"/>
      <c r="P1308" s="1778" t="s">
        <v>2111</v>
      </c>
      <c r="Q1308" s="1776"/>
      <c r="R1308" s="1777"/>
      <c r="S1308" s="1777"/>
      <c r="T1308" s="1777"/>
      <c r="U1308" s="1777"/>
      <c r="Y1308" s="1809"/>
      <c r="Z1308" s="1809"/>
      <c r="AA1308" s="1809"/>
      <c r="AB1308" s="1809"/>
      <c r="AC1308" s="1809"/>
    </row>
    <row r="1309" spans="1:29" ht="13.8" x14ac:dyDescent="0.25">
      <c r="A1309" s="1830"/>
      <c r="B1309" s="1830" t="s">
        <v>2254</v>
      </c>
      <c r="C1309" s="1831" t="s">
        <v>1945</v>
      </c>
      <c r="D1309" s="1831">
        <v>2.86</v>
      </c>
      <c r="E1309" s="1831">
        <f>Material!E137</f>
        <v>1800</v>
      </c>
      <c r="F1309" s="1831">
        <f t="shared" ref="F1309:F1310" si="112">D1309*E1309</f>
        <v>5148</v>
      </c>
      <c r="G1309" s="1831"/>
      <c r="K1309" s="1772"/>
      <c r="L1309" s="1772"/>
      <c r="M1309" s="1772"/>
      <c r="N1309" s="1772"/>
      <c r="O1309" s="1830"/>
      <c r="P1309" s="1830" t="s">
        <v>2256</v>
      </c>
      <c r="Q1309" s="1831" t="s">
        <v>2126</v>
      </c>
      <c r="R1309" s="1831">
        <v>100</v>
      </c>
      <c r="S1309" s="1831">
        <v>500</v>
      </c>
      <c r="T1309" s="1831">
        <f t="shared" ref="T1309" si="113">R1309*S1309</f>
        <v>50000</v>
      </c>
      <c r="U1309" s="1831"/>
      <c r="Y1309" s="1809"/>
      <c r="Z1309" s="1809"/>
      <c r="AA1309" s="1809"/>
      <c r="AB1309" s="1809"/>
      <c r="AC1309" s="1809"/>
    </row>
    <row r="1310" spans="1:29" ht="17.399999999999999" customHeight="1" x14ac:dyDescent="0.25">
      <c r="A1310" s="1830"/>
      <c r="B1310" s="1830" t="s">
        <v>2249</v>
      </c>
      <c r="C1310" s="1831" t="s">
        <v>1945</v>
      </c>
      <c r="D1310" s="1831">
        <v>1</v>
      </c>
      <c r="E1310" s="1831">
        <f>Material!E138</f>
        <v>280</v>
      </c>
      <c r="F1310" s="1831">
        <f t="shared" si="112"/>
        <v>280</v>
      </c>
      <c r="G1310" s="1831"/>
      <c r="K1310" s="1772"/>
      <c r="L1310" s="1772"/>
      <c r="M1310" s="1772"/>
      <c r="N1310" s="1772"/>
      <c r="O1310" s="1775"/>
      <c r="P1310" s="1790" t="s">
        <v>2216</v>
      </c>
      <c r="Q1310" s="1776"/>
      <c r="R1310" s="1777"/>
      <c r="S1310" s="1777"/>
      <c r="T1310" s="1777">
        <f>T1309*5%</f>
        <v>2500</v>
      </c>
      <c r="U1310" s="1777"/>
      <c r="Y1310" s="1809"/>
      <c r="Z1310" s="1809"/>
      <c r="AA1310" s="1809"/>
      <c r="AB1310" s="1809"/>
      <c r="AC1310" s="1809"/>
    </row>
    <row r="1311" spans="1:29" ht="13.8" x14ac:dyDescent="0.25">
      <c r="A1311" s="1830"/>
      <c r="B1311" s="1832" t="s">
        <v>2076</v>
      </c>
      <c r="C1311" s="1831" t="s">
        <v>2250</v>
      </c>
      <c r="D1311" s="1831"/>
      <c r="E1311" s="1831"/>
      <c r="F1311" s="1831">
        <v>500</v>
      </c>
      <c r="G1311" s="1831"/>
      <c r="K1311" s="1772"/>
      <c r="L1311" s="1772"/>
      <c r="M1311" s="1772"/>
      <c r="N1311" s="1772"/>
      <c r="O1311" s="1830"/>
      <c r="P1311" s="1830" t="s">
        <v>2159</v>
      </c>
      <c r="Q1311" s="1831" t="s">
        <v>1945</v>
      </c>
      <c r="R1311" s="1831">
        <v>1.75</v>
      </c>
      <c r="S1311" s="1831">
        <f>F260</f>
        <v>0</v>
      </c>
      <c r="T1311" s="1831">
        <f>R1311*S1311</f>
        <v>0</v>
      </c>
      <c r="U1311" s="1831"/>
      <c r="Y1311" s="1809"/>
      <c r="Z1311" s="1809"/>
      <c r="AA1311" s="1809"/>
      <c r="AB1311" s="1809"/>
      <c r="AC1311" s="1809"/>
    </row>
    <row r="1312" spans="1:29" ht="13.8" x14ac:dyDescent="0.25">
      <c r="A1312" s="1775"/>
      <c r="B1312" s="1776"/>
      <c r="C1312" s="1777"/>
      <c r="D1312" s="1777"/>
      <c r="E1312" s="1777"/>
      <c r="F1312" s="1777"/>
      <c r="G1312" s="1777"/>
      <c r="K1312" s="1772"/>
      <c r="L1312" s="1772"/>
      <c r="M1312" s="1772"/>
      <c r="N1312" s="1772"/>
      <c r="O1312" s="1830"/>
      <c r="P1312" s="1830" t="s">
        <v>1947</v>
      </c>
      <c r="Q1312" s="1831" t="s">
        <v>131</v>
      </c>
      <c r="R1312" s="1831">
        <v>0.08</v>
      </c>
      <c r="S1312" s="1831">
        <f>Material!E76</f>
        <v>0</v>
      </c>
      <c r="T1312" s="1831">
        <f>R1312*S1312</f>
        <v>0</v>
      </c>
      <c r="U1312" s="1831"/>
      <c r="Y1312" s="1809"/>
      <c r="Z1312" s="1809"/>
      <c r="AA1312" s="1809"/>
      <c r="AB1312" s="1809"/>
      <c r="AC1312" s="1809"/>
    </row>
    <row r="1313" spans="1:29" ht="13.8" x14ac:dyDescent="0.25">
      <c r="A1313" s="1775"/>
      <c r="B1313" s="1776" t="s">
        <v>2251</v>
      </c>
      <c r="C1313" s="1777"/>
      <c r="D1313" s="1777"/>
      <c r="E1313" s="1777"/>
      <c r="F1313" s="1777">
        <v>1000</v>
      </c>
      <c r="G1313" s="1777"/>
      <c r="K1313" s="1772"/>
      <c r="L1313" s="1772"/>
      <c r="M1313" s="1772"/>
      <c r="N1313" s="1772"/>
      <c r="O1313" s="1830"/>
      <c r="P1313" s="1830" t="s">
        <v>2254</v>
      </c>
      <c r="Q1313" s="1831" t="s">
        <v>1945</v>
      </c>
      <c r="R1313" s="1831">
        <v>2.86</v>
      </c>
      <c r="S1313" s="1831">
        <f>Material!E200</f>
        <v>0</v>
      </c>
      <c r="T1313" s="1831">
        <f t="shared" ref="T1313:T1314" si="114">R1313*S1313</f>
        <v>0</v>
      </c>
      <c r="U1313" s="1831"/>
      <c r="Y1313" s="1809"/>
      <c r="Z1313" s="1809"/>
      <c r="AA1313" s="1809"/>
      <c r="AB1313" s="1809"/>
      <c r="AC1313" s="1809"/>
    </row>
    <row r="1314" spans="1:29" ht="13.8" x14ac:dyDescent="0.25">
      <c r="A1314" s="1775"/>
      <c r="B1314" s="1776"/>
      <c r="C1314" s="1777"/>
      <c r="D1314" s="1777"/>
      <c r="E1314" s="1777"/>
      <c r="F1314" s="1777"/>
      <c r="G1314" s="1777"/>
      <c r="K1314" s="1772"/>
      <c r="L1314" s="1772"/>
      <c r="M1314" s="1772"/>
      <c r="N1314" s="1772"/>
      <c r="O1314" s="1830"/>
      <c r="P1314" s="1830" t="s">
        <v>2249</v>
      </c>
      <c r="Q1314" s="1831" t="s">
        <v>1945</v>
      </c>
      <c r="R1314" s="1831">
        <v>1</v>
      </c>
      <c r="S1314" s="1831">
        <f>Material!E201</f>
        <v>0</v>
      </c>
      <c r="T1314" s="1831">
        <f t="shared" si="114"/>
        <v>0</v>
      </c>
      <c r="U1314" s="1831"/>
      <c r="Y1314" s="1809"/>
      <c r="Z1314" s="1809"/>
      <c r="AA1314" s="1809"/>
      <c r="AB1314" s="1809"/>
      <c r="AC1314" s="1809"/>
    </row>
    <row r="1315" spans="1:29" ht="27.6" x14ac:dyDescent="0.25">
      <c r="A1315" s="1775"/>
      <c r="B1315" s="1775"/>
      <c r="C1315" s="1776"/>
      <c r="D1315" s="1777"/>
      <c r="E1315" s="1777"/>
      <c r="F1315" s="1777">
        <f t="shared" ref="F1315" si="115">D1315*E1315</f>
        <v>0</v>
      </c>
      <c r="G1315" s="1777"/>
      <c r="K1315" s="1772"/>
      <c r="L1315" s="1772"/>
      <c r="M1315" s="1772"/>
      <c r="N1315" s="1772"/>
      <c r="O1315" s="1830"/>
      <c r="P1315" s="1832" t="s">
        <v>2076</v>
      </c>
      <c r="Q1315" s="1831" t="s">
        <v>2250</v>
      </c>
      <c r="R1315" s="1831"/>
      <c r="S1315" s="1831"/>
      <c r="T1315" s="1831">
        <v>500</v>
      </c>
      <c r="U1315" s="1831"/>
      <c r="Y1315" s="1809"/>
      <c r="Z1315" s="1809"/>
      <c r="AA1315" s="1809"/>
      <c r="AB1315" s="1809"/>
      <c r="AC1315" s="1809"/>
    </row>
    <row r="1316" spans="1:29" ht="13.8" x14ac:dyDescent="0.25">
      <c r="A1316" s="1779"/>
      <c r="B1316" s="2723" t="s">
        <v>2112</v>
      </c>
      <c r="C1316" s="2723"/>
      <c r="D1316" s="2723"/>
      <c r="E1316" s="2723"/>
      <c r="F1316" s="1780"/>
      <c r="G1316" s="1781">
        <f>SUM(F1305:F1316)</f>
        <v>107220.34375</v>
      </c>
      <c r="K1316" s="1772"/>
      <c r="L1316" s="1772"/>
      <c r="M1316" s="1772"/>
      <c r="N1316" s="1772"/>
      <c r="O1316" s="1775"/>
      <c r="P1316" s="1776"/>
      <c r="Q1316" s="1777"/>
      <c r="R1316" s="1777"/>
      <c r="S1316" s="1777"/>
      <c r="T1316" s="1777"/>
      <c r="U1316" s="1777"/>
      <c r="Y1316" s="1809"/>
      <c r="Z1316" s="1809"/>
      <c r="AA1316" s="1809"/>
      <c r="AB1316" s="1809"/>
      <c r="AC1316" s="1809"/>
    </row>
    <row r="1317" spans="1:29" ht="13.8" x14ac:dyDescent="0.25">
      <c r="A1317" s="1775"/>
      <c r="B1317" s="1778" t="s">
        <v>2098</v>
      </c>
      <c r="C1317" s="1776"/>
      <c r="D1317" s="1777"/>
      <c r="E1317" s="1777"/>
      <c r="F1317" s="1777">
        <f t="shared" ref="F1317:F1318" si="116">D1317*E1317</f>
        <v>0</v>
      </c>
      <c r="G1317" s="1777"/>
      <c r="K1317" s="1772"/>
      <c r="L1317" s="1772"/>
      <c r="M1317" s="1772"/>
      <c r="N1317" s="1772"/>
      <c r="O1317" s="1775"/>
      <c r="P1317" s="1776" t="s">
        <v>2251</v>
      </c>
      <c r="Q1317" s="1777"/>
      <c r="R1317" s="1777"/>
      <c r="S1317" s="1777"/>
      <c r="T1317" s="1777">
        <v>1000</v>
      </c>
      <c r="U1317" s="1777"/>
      <c r="Y1317" s="1809"/>
      <c r="Z1317" s="1809"/>
      <c r="AA1317" s="1809"/>
      <c r="AB1317" s="1809"/>
      <c r="AC1317" s="1809"/>
    </row>
    <row r="1318" spans="1:29" ht="13.8" x14ac:dyDescent="0.25">
      <c r="A1318" s="1830"/>
      <c r="B1318" s="1830" t="s">
        <v>2106</v>
      </c>
      <c r="C1318" s="1831" t="s">
        <v>2126</v>
      </c>
      <c r="D1318" s="1831">
        <v>100</v>
      </c>
      <c r="E1318" s="1831">
        <v>250</v>
      </c>
      <c r="F1318" s="1831">
        <f t="shared" si="116"/>
        <v>25000</v>
      </c>
      <c r="G1318" s="1831"/>
      <c r="K1318" s="1772"/>
      <c r="L1318" s="1772"/>
      <c r="M1318" s="1772"/>
      <c r="N1318" s="1772"/>
      <c r="O1318" s="1775"/>
      <c r="P1318" s="1776"/>
      <c r="Q1318" s="1777"/>
      <c r="R1318" s="1777"/>
      <c r="S1318" s="1777"/>
      <c r="T1318" s="1777"/>
      <c r="U1318" s="1777"/>
      <c r="Y1318" s="1809"/>
      <c r="Z1318" s="1809"/>
      <c r="AA1318" s="1809"/>
      <c r="AB1318" s="1809"/>
      <c r="AC1318" s="1809"/>
    </row>
    <row r="1319" spans="1:29" ht="13.8" x14ac:dyDescent="0.25">
      <c r="A1319" s="1775"/>
      <c r="B1319" s="1775"/>
      <c r="C1319" s="1777"/>
      <c r="D1319" s="1777"/>
      <c r="E1319" s="1777"/>
      <c r="F1319" s="1777"/>
      <c r="G1319" s="1777"/>
      <c r="K1319" s="1772"/>
      <c r="L1319" s="1772"/>
      <c r="M1319" s="1772"/>
      <c r="N1319" s="1772"/>
      <c r="O1319" s="1775"/>
      <c r="P1319" s="1775"/>
      <c r="Q1319" s="1776"/>
      <c r="R1319" s="1777"/>
      <c r="S1319" s="1777"/>
      <c r="T1319" s="1777">
        <f t="shared" ref="T1319" si="117">R1319*S1319</f>
        <v>0</v>
      </c>
      <c r="U1319" s="1777"/>
      <c r="Y1319" s="1809"/>
      <c r="Z1319" s="1809"/>
      <c r="AA1319" s="1809"/>
      <c r="AB1319" s="1809"/>
      <c r="AC1319" s="1809"/>
    </row>
    <row r="1320" spans="1:29" ht="13.8" x14ac:dyDescent="0.25">
      <c r="A1320" s="1775"/>
      <c r="B1320" s="1775"/>
      <c r="C1320" s="1777"/>
      <c r="D1320" s="1777"/>
      <c r="E1320" s="1777"/>
      <c r="F1320" s="1777"/>
      <c r="G1320" s="1777"/>
      <c r="K1320" s="1772"/>
      <c r="L1320" s="1772"/>
      <c r="M1320" s="1772"/>
      <c r="N1320" s="1772"/>
      <c r="O1320" s="1779"/>
      <c r="P1320" s="2723" t="s">
        <v>2112</v>
      </c>
      <c r="Q1320" s="2723"/>
      <c r="R1320" s="2723"/>
      <c r="S1320" s="2723"/>
      <c r="T1320" s="1780"/>
      <c r="U1320" s="1781">
        <f>SUM(T1309:T1320)</f>
        <v>54000</v>
      </c>
      <c r="Y1320" s="1809"/>
      <c r="Z1320" s="1809"/>
      <c r="AA1320" s="1809"/>
      <c r="AB1320" s="1809"/>
      <c r="AC1320" s="1809"/>
    </row>
    <row r="1321" spans="1:29" ht="13.8" x14ac:dyDescent="0.25">
      <c r="A1321" s="1775"/>
      <c r="B1321" s="1775"/>
      <c r="C1321" s="1776"/>
      <c r="D1321" s="1777"/>
      <c r="E1321" s="1777"/>
      <c r="F1321" s="1777"/>
      <c r="G1321" s="1777"/>
      <c r="K1321" s="1772"/>
      <c r="L1321" s="1772"/>
      <c r="M1321" s="1772"/>
      <c r="N1321" s="1772"/>
      <c r="O1321" s="1775"/>
      <c r="P1321" s="1778" t="s">
        <v>2098</v>
      </c>
      <c r="Q1321" s="1776"/>
      <c r="R1321" s="1777"/>
      <c r="S1321" s="1777"/>
      <c r="T1321" s="1777">
        <f t="shared" ref="T1321:T1322" si="118">R1321*S1321</f>
        <v>0</v>
      </c>
      <c r="U1321" s="1777"/>
      <c r="Y1321" s="1809"/>
      <c r="Z1321" s="1809"/>
      <c r="AA1321" s="1809"/>
      <c r="AB1321" s="1809"/>
      <c r="AC1321" s="1809"/>
    </row>
    <row r="1322" spans="1:29" ht="13.8" x14ac:dyDescent="0.25">
      <c r="A1322" s="1779"/>
      <c r="B1322" s="2723" t="s">
        <v>2100</v>
      </c>
      <c r="C1322" s="2723"/>
      <c r="D1322" s="2723"/>
      <c r="E1322" s="2723"/>
      <c r="F1322" s="1780">
        <f t="shared" ref="F1322" si="119">D1322*E1322</f>
        <v>0</v>
      </c>
      <c r="G1322" s="1781">
        <f>SUM(F1318:F1322)</f>
        <v>25000</v>
      </c>
      <c r="K1322" s="1772"/>
      <c r="L1322" s="1772"/>
      <c r="M1322" s="1772"/>
      <c r="N1322" s="1772"/>
      <c r="O1322" s="1830"/>
      <c r="P1322" s="1830" t="s">
        <v>2106</v>
      </c>
      <c r="Q1322" s="1831" t="s">
        <v>2126</v>
      </c>
      <c r="R1322" s="1831">
        <v>100</v>
      </c>
      <c r="S1322" s="1831">
        <v>100</v>
      </c>
      <c r="T1322" s="1831">
        <f t="shared" si="118"/>
        <v>10000</v>
      </c>
      <c r="U1322" s="1831"/>
      <c r="Y1322" s="1809"/>
      <c r="Z1322" s="1809"/>
      <c r="AA1322" s="1809"/>
      <c r="AB1322" s="1809"/>
      <c r="AC1322" s="1809"/>
    </row>
    <row r="1323" spans="1:29" ht="13.8" x14ac:dyDescent="0.25">
      <c r="A1323" s="1775"/>
      <c r="B1323" s="1782"/>
      <c r="C1323" s="1782"/>
      <c r="D1323" s="1782"/>
      <c r="E1323" s="1782"/>
      <c r="F1323" s="1777"/>
      <c r="G1323" s="1782"/>
      <c r="K1323" s="1772"/>
      <c r="L1323" s="1772"/>
      <c r="M1323" s="1772"/>
      <c r="N1323" s="1772"/>
      <c r="O1323" s="1775"/>
      <c r="P1323" s="1775"/>
      <c r="Q1323" s="1777"/>
      <c r="R1323" s="1777"/>
      <c r="S1323" s="1777"/>
      <c r="T1323" s="1777"/>
      <c r="U1323" s="1777"/>
      <c r="Y1323" s="1809"/>
      <c r="Z1323" s="1809"/>
      <c r="AA1323" s="1809"/>
      <c r="AB1323" s="1809"/>
      <c r="AC1323" s="1809"/>
    </row>
    <row r="1324" spans="1:29" ht="13.8" x14ac:dyDescent="0.25">
      <c r="A1324" s="1775"/>
      <c r="B1324" s="1782"/>
      <c r="C1324" s="1782"/>
      <c r="D1324" s="1782"/>
      <c r="E1324" s="1782"/>
      <c r="F1324" s="1777"/>
      <c r="G1324" s="1782"/>
      <c r="K1324" s="1772"/>
      <c r="L1324" s="1772"/>
      <c r="M1324" s="1772"/>
      <c r="N1324" s="1772"/>
      <c r="O1324" s="1775"/>
      <c r="P1324" s="1775"/>
      <c r="Q1324" s="1777"/>
      <c r="R1324" s="1777"/>
      <c r="S1324" s="1777"/>
      <c r="T1324" s="1777"/>
      <c r="U1324" s="1777"/>
      <c r="V1324" s="1757"/>
      <c r="Y1324" s="1809"/>
      <c r="Z1324" s="1809"/>
      <c r="AA1324" s="1809"/>
      <c r="AB1324" s="1809"/>
      <c r="AC1324" s="1809"/>
    </row>
    <row r="1325" spans="1:29" ht="13.8" x14ac:dyDescent="0.25">
      <c r="A1325" s="2716" t="s">
        <v>2127</v>
      </c>
      <c r="B1325" s="2716"/>
      <c r="C1325" s="2716"/>
      <c r="D1325" s="2716"/>
      <c r="E1325" s="2716"/>
      <c r="F1325" s="2716"/>
      <c r="G1325" s="1783">
        <f>G1316+G1322</f>
        <v>132220.34375</v>
      </c>
      <c r="K1325" s="1772"/>
      <c r="L1325" s="1772"/>
      <c r="M1325" s="1772"/>
      <c r="N1325" s="1772"/>
      <c r="O1325" s="1775"/>
      <c r="P1325" s="1775"/>
      <c r="Q1325" s="1776"/>
      <c r="R1325" s="1777"/>
      <c r="S1325" s="1777"/>
      <c r="T1325" s="1777"/>
      <c r="U1325" s="1777"/>
      <c r="V1325" s="1757"/>
      <c r="Y1325" s="1809"/>
      <c r="Z1325" s="1809"/>
      <c r="AA1325" s="1809"/>
      <c r="AB1325" s="1809"/>
      <c r="AC1325" s="1809"/>
    </row>
    <row r="1326" spans="1:29" ht="13.8" x14ac:dyDescent="0.25">
      <c r="A1326" s="2716" t="s">
        <v>2128</v>
      </c>
      <c r="B1326" s="2716"/>
      <c r="C1326" s="2716"/>
      <c r="D1326" s="2716"/>
      <c r="E1326" s="2716"/>
      <c r="F1326" s="2716"/>
      <c r="G1326" s="1783">
        <f>G1325/9.29</f>
        <v>14232.545075349839</v>
      </c>
      <c r="K1326" s="1772"/>
      <c r="L1326" s="1772"/>
      <c r="M1326" s="1772"/>
      <c r="N1326" s="1772"/>
      <c r="O1326" s="1779"/>
      <c r="P1326" s="2723" t="s">
        <v>2100</v>
      </c>
      <c r="Q1326" s="2723"/>
      <c r="R1326" s="2723"/>
      <c r="S1326" s="2723"/>
      <c r="T1326" s="1780">
        <f t="shared" ref="T1326" si="120">R1326*S1326</f>
        <v>0</v>
      </c>
      <c r="U1326" s="1781">
        <f>SUM(T1322:T1326)</f>
        <v>10000</v>
      </c>
      <c r="V1326" s="1757"/>
      <c r="Y1326" s="1809"/>
      <c r="Z1326" s="1809"/>
      <c r="AA1326" s="1809"/>
      <c r="AB1326" s="1809"/>
      <c r="AC1326" s="1809"/>
    </row>
    <row r="1327" spans="1:29" ht="13.8" x14ac:dyDescent="0.25">
      <c r="A1327" s="2716" t="s">
        <v>2129</v>
      </c>
      <c r="B1327" s="2716"/>
      <c r="C1327" s="2716"/>
      <c r="D1327" s="2716"/>
      <c r="E1327" s="2716"/>
      <c r="F1327" s="2716"/>
      <c r="G1327" s="1822">
        <f>G1326/10.76</f>
        <v>1322.7272374860445</v>
      </c>
      <c r="K1327" s="1772"/>
      <c r="L1327" s="1772"/>
      <c r="M1327" s="1772"/>
      <c r="N1327" s="1772"/>
      <c r="O1327" s="1775"/>
      <c r="P1327" s="1782"/>
      <c r="Q1327" s="1782"/>
      <c r="R1327" s="1782"/>
      <c r="S1327" s="1782"/>
      <c r="T1327" s="1777"/>
      <c r="U1327" s="1782"/>
      <c r="V1327" s="1757"/>
      <c r="Y1327" s="1809">
        <f>1380/20</f>
        <v>69</v>
      </c>
      <c r="Z1327" s="1809"/>
      <c r="AA1327" s="1809"/>
      <c r="AB1327" s="1809"/>
      <c r="AC1327" s="1809"/>
    </row>
    <row r="1328" spans="1:29" ht="13.8" x14ac:dyDescent="0.25">
      <c r="K1328" s="1772"/>
      <c r="L1328" s="1772"/>
      <c r="M1328" s="1772"/>
      <c r="N1328" s="1772"/>
      <c r="O1328" s="1775"/>
      <c r="P1328" s="1782"/>
      <c r="Q1328" s="1782"/>
      <c r="R1328" s="1782"/>
      <c r="S1328" s="1782"/>
      <c r="T1328" s="1777"/>
      <c r="U1328" s="1782"/>
      <c r="V1328" s="1758" t="s">
        <v>2257</v>
      </c>
      <c r="Y1328" s="1809"/>
      <c r="Z1328" s="1809"/>
      <c r="AA1328" s="1809"/>
      <c r="AB1328" s="1809"/>
      <c r="AC1328" s="1809"/>
    </row>
    <row r="1329" spans="1:29" ht="13.8" x14ac:dyDescent="0.25">
      <c r="K1329" s="1772"/>
      <c r="L1329" s="1772"/>
      <c r="M1329" s="1772"/>
      <c r="N1329" s="1772"/>
      <c r="O1329" s="2716" t="s">
        <v>2127</v>
      </c>
      <c r="P1329" s="2716"/>
      <c r="Q1329" s="2716"/>
      <c r="R1329" s="2716"/>
      <c r="S1329" s="2716"/>
      <c r="T1329" s="2716"/>
      <c r="U1329" s="1783">
        <f>U1320+U1326</f>
        <v>64000</v>
      </c>
      <c r="V1329" s="1758" t="s">
        <v>2258</v>
      </c>
      <c r="Y1329" s="1809">
        <f>12821/20</f>
        <v>641.04999999999995</v>
      </c>
      <c r="Z1329" s="1809"/>
      <c r="AA1329" s="1809"/>
      <c r="AB1329" s="1809"/>
      <c r="AC1329" s="1809"/>
    </row>
    <row r="1330" spans="1:29" ht="14.4" thickBot="1" x14ac:dyDescent="0.3">
      <c r="K1330" s="1772"/>
      <c r="L1330" s="1772"/>
      <c r="M1330" s="1772"/>
      <c r="N1330" s="1772"/>
      <c r="O1330" s="1785"/>
      <c r="P1330" s="1785"/>
      <c r="Q1330" s="1785"/>
      <c r="R1330" s="1785"/>
      <c r="S1330" s="1785"/>
      <c r="T1330" s="1785"/>
      <c r="U1330" s="1785"/>
      <c r="V1330" s="1758"/>
      <c r="Y1330" s="1809"/>
      <c r="Z1330" s="1809"/>
      <c r="AA1330" s="1809"/>
      <c r="AB1330" s="1809"/>
      <c r="AC1330" s="1809"/>
    </row>
    <row r="1331" spans="1:29" ht="13.8" x14ac:dyDescent="0.25">
      <c r="A1331" s="2717" t="s">
        <v>2259</v>
      </c>
      <c r="B1331" s="2718"/>
      <c r="C1331" s="2718"/>
      <c r="D1331" s="2718"/>
      <c r="E1331" s="2718"/>
      <c r="F1331" s="2718"/>
      <c r="G1331" s="2719"/>
    </row>
    <row r="1332" spans="1:29" ht="14.4" thickBot="1" x14ac:dyDescent="0.3">
      <c r="A1332" s="2720" t="s">
        <v>2093</v>
      </c>
      <c r="B1332" s="2721"/>
      <c r="C1332" s="2721"/>
      <c r="D1332" s="2721"/>
      <c r="E1332" s="2721"/>
      <c r="F1332" s="2721"/>
      <c r="G1332" s="2722"/>
    </row>
    <row r="1333" spans="1:29" ht="14.4" thickBot="1" x14ac:dyDescent="0.3">
      <c r="A1333" s="1773"/>
      <c r="B1333" s="1774" t="s">
        <v>2094</v>
      </c>
      <c r="C1333" s="1774" t="s">
        <v>2095</v>
      </c>
      <c r="D1333" s="1774" t="s">
        <v>2</v>
      </c>
      <c r="E1333" s="1774" t="s">
        <v>2096</v>
      </c>
      <c r="F1333" s="1774" t="s">
        <v>5</v>
      </c>
      <c r="G1333" s="1774" t="s">
        <v>2097</v>
      </c>
    </row>
    <row r="1334" spans="1:29" ht="13.8" x14ac:dyDescent="0.25">
      <c r="A1334" s="1775"/>
      <c r="B1334" s="1775"/>
      <c r="C1334" s="1776"/>
      <c r="D1334" s="1777"/>
      <c r="E1334" s="1777"/>
      <c r="F1334" s="1777"/>
      <c r="G1334" s="1777"/>
      <c r="I1334" s="2014">
        <f>5000/10.76</f>
        <v>464.68401486988847</v>
      </c>
    </row>
    <row r="1335" spans="1:29" ht="13.8" x14ac:dyDescent="0.25">
      <c r="A1335" s="1775"/>
      <c r="B1335" s="1778" t="s">
        <v>2111</v>
      </c>
      <c r="C1335" s="1776"/>
      <c r="D1335" s="1777"/>
      <c r="E1335" s="1777"/>
      <c r="F1335" s="1777"/>
      <c r="G1335" s="1777"/>
    </row>
    <row r="1336" spans="1:29" ht="13.8" x14ac:dyDescent="0.25">
      <c r="A1336" s="1830"/>
      <c r="B1336" s="1830" t="s">
        <v>2256</v>
      </c>
      <c r="C1336" s="1831" t="s">
        <v>2126</v>
      </c>
      <c r="D1336" s="1831">
        <v>34</v>
      </c>
      <c r="E1336" s="1831">
        <v>500</v>
      </c>
      <c r="F1336" s="1831">
        <f t="shared" ref="F1336" si="121">D1336*E1336</f>
        <v>17000</v>
      </c>
      <c r="G1336" s="1831"/>
    </row>
    <row r="1337" spans="1:29" ht="13.8" x14ac:dyDescent="0.25">
      <c r="A1337" s="1775"/>
      <c r="B1337" s="1790" t="s">
        <v>2216</v>
      </c>
      <c r="C1337" s="1776"/>
      <c r="D1337" s="1777"/>
      <c r="E1337" s="1777"/>
      <c r="F1337" s="1777">
        <f>F1336*5%</f>
        <v>850</v>
      </c>
      <c r="G1337" s="1777"/>
      <c r="I1337" s="2014">
        <f>100/3</f>
        <v>33.333333333333336</v>
      </c>
    </row>
    <row r="1338" spans="1:29" ht="13.8" x14ac:dyDescent="0.25">
      <c r="A1338" s="1830"/>
      <c r="B1338" s="1830"/>
      <c r="C1338" s="1831"/>
      <c r="D1338" s="1831"/>
      <c r="E1338" s="1831"/>
      <c r="F1338" s="1831"/>
      <c r="G1338" s="1831"/>
    </row>
    <row r="1339" spans="1:29" ht="13.8" x14ac:dyDescent="0.25">
      <c r="A1339" s="1830"/>
      <c r="B1339" s="1830"/>
      <c r="C1339" s="1831"/>
      <c r="D1339" s="1831"/>
      <c r="E1339" s="1831"/>
      <c r="F1339" s="1831"/>
      <c r="G1339" s="1831"/>
    </row>
    <row r="1340" spans="1:29" ht="13.8" x14ac:dyDescent="0.25">
      <c r="A1340" s="1830"/>
      <c r="B1340" s="1830" t="s">
        <v>2254</v>
      </c>
      <c r="C1340" s="1831" t="s">
        <v>1945</v>
      </c>
      <c r="D1340" s="1831">
        <v>1</v>
      </c>
      <c r="E1340" s="1831">
        <f>Material!E137</f>
        <v>1800</v>
      </c>
      <c r="F1340" s="1831">
        <f t="shared" ref="F1340:F1341" si="122">D1340*E1340</f>
        <v>1800</v>
      </c>
      <c r="G1340" s="1831"/>
    </row>
    <row r="1341" spans="1:29" ht="13.8" x14ac:dyDescent="0.25">
      <c r="A1341" s="1830"/>
      <c r="B1341" s="1830" t="s">
        <v>2249</v>
      </c>
      <c r="C1341" s="1831" t="s">
        <v>1945</v>
      </c>
      <c r="D1341" s="1831">
        <v>1</v>
      </c>
      <c r="E1341" s="1831">
        <f>Material!E138</f>
        <v>280</v>
      </c>
      <c r="F1341" s="1831">
        <f t="shared" si="122"/>
        <v>280</v>
      </c>
      <c r="G1341" s="1831"/>
    </row>
    <row r="1342" spans="1:29" ht="13.8" x14ac:dyDescent="0.25">
      <c r="A1342" s="1830"/>
      <c r="B1342" s="1832" t="s">
        <v>2076</v>
      </c>
      <c r="C1342" s="1831" t="s">
        <v>2250</v>
      </c>
      <c r="D1342" s="1831"/>
      <c r="E1342" s="1831"/>
      <c r="F1342" s="1831">
        <v>500</v>
      </c>
      <c r="G1342" s="1831"/>
    </row>
    <row r="1343" spans="1:29" ht="13.8" x14ac:dyDescent="0.25">
      <c r="A1343" s="1775"/>
      <c r="B1343" s="1776"/>
      <c r="C1343" s="1777"/>
      <c r="D1343" s="1777"/>
      <c r="E1343" s="1777"/>
      <c r="F1343" s="1777"/>
      <c r="G1343" s="1777"/>
    </row>
    <row r="1344" spans="1:29" ht="13.8" x14ac:dyDescent="0.25">
      <c r="A1344" s="1775"/>
      <c r="B1344" s="1776" t="s">
        <v>2251</v>
      </c>
      <c r="C1344" s="1777"/>
      <c r="D1344" s="1777"/>
      <c r="E1344" s="1777"/>
      <c r="F1344" s="1777">
        <v>1000</v>
      </c>
      <c r="G1344" s="1777"/>
    </row>
    <row r="1345" spans="1:29" ht="13.8" x14ac:dyDescent="0.25">
      <c r="A1345" s="1775"/>
      <c r="B1345" s="1776"/>
      <c r="C1345" s="1777"/>
      <c r="D1345" s="1777"/>
      <c r="E1345" s="1777"/>
      <c r="F1345" s="1777"/>
      <c r="G1345" s="1777"/>
    </row>
    <row r="1346" spans="1:29" ht="13.8" x14ac:dyDescent="0.25">
      <c r="A1346" s="1775"/>
      <c r="B1346" s="1775"/>
      <c r="C1346" s="1776"/>
      <c r="D1346" s="1777"/>
      <c r="E1346" s="1777"/>
      <c r="F1346" s="1777">
        <f t="shared" ref="F1346" si="123">D1346*E1346</f>
        <v>0</v>
      </c>
      <c r="G1346" s="1777"/>
    </row>
    <row r="1347" spans="1:29" ht="13.8" x14ac:dyDescent="0.25">
      <c r="A1347" s="1779"/>
      <c r="B1347" s="2723" t="s">
        <v>2112</v>
      </c>
      <c r="C1347" s="2723"/>
      <c r="D1347" s="2723"/>
      <c r="E1347" s="2723"/>
      <c r="F1347" s="1780"/>
      <c r="G1347" s="1781">
        <f>SUM(F1336:F1347)</f>
        <v>21430</v>
      </c>
    </row>
    <row r="1348" spans="1:29" ht="13.8" x14ac:dyDescent="0.25">
      <c r="A1348" s="1775"/>
      <c r="B1348" s="1778" t="s">
        <v>2098</v>
      </c>
      <c r="C1348" s="1776"/>
      <c r="D1348" s="1777"/>
      <c r="E1348" s="1777"/>
      <c r="F1348" s="1777">
        <f t="shared" ref="F1348:F1349" si="124">D1348*E1348</f>
        <v>0</v>
      </c>
      <c r="G1348" s="1777"/>
    </row>
    <row r="1349" spans="1:29" ht="13.8" x14ac:dyDescent="0.25">
      <c r="A1349" s="1830"/>
      <c r="B1349" s="1830" t="s">
        <v>2106</v>
      </c>
      <c r="C1349" s="1831" t="s">
        <v>2206</v>
      </c>
      <c r="D1349" s="1831">
        <v>100</v>
      </c>
      <c r="E1349" s="1831">
        <v>90</v>
      </c>
      <c r="F1349" s="1831">
        <f t="shared" si="124"/>
        <v>9000</v>
      </c>
      <c r="G1349" s="1831"/>
    </row>
    <row r="1350" spans="1:29" ht="13.8" x14ac:dyDescent="0.25">
      <c r="A1350" s="1775"/>
      <c r="B1350" s="1775"/>
      <c r="C1350" s="1777"/>
      <c r="D1350" s="1777"/>
      <c r="E1350" s="1777"/>
      <c r="F1350" s="1777"/>
      <c r="G1350" s="1777"/>
    </row>
    <row r="1351" spans="1:29" ht="13.8" x14ac:dyDescent="0.25">
      <c r="A1351" s="1775"/>
      <c r="B1351" s="1775"/>
      <c r="C1351" s="1777"/>
      <c r="D1351" s="1777"/>
      <c r="E1351" s="1777"/>
      <c r="F1351" s="1777"/>
      <c r="G1351" s="1777"/>
    </row>
    <row r="1352" spans="1:29" ht="13.8" x14ac:dyDescent="0.25">
      <c r="A1352" s="1775"/>
      <c r="B1352" s="1775"/>
      <c r="C1352" s="1776"/>
      <c r="D1352" s="1777"/>
      <c r="E1352" s="1777"/>
      <c r="F1352" s="1777"/>
      <c r="G1352" s="1777"/>
    </row>
    <row r="1353" spans="1:29" ht="13.8" x14ac:dyDescent="0.25">
      <c r="A1353" s="1779"/>
      <c r="B1353" s="2723" t="s">
        <v>2100</v>
      </c>
      <c r="C1353" s="2723"/>
      <c r="D1353" s="2723"/>
      <c r="E1353" s="2723"/>
      <c r="F1353" s="1780">
        <f t="shared" ref="F1353" si="125">D1353*E1353</f>
        <v>0</v>
      </c>
      <c r="G1353" s="1781">
        <f>SUM(F1349:F1353)</f>
        <v>9000</v>
      </c>
    </row>
    <row r="1354" spans="1:29" ht="13.8" x14ac:dyDescent="0.25">
      <c r="A1354" s="1775"/>
      <c r="B1354" s="1782"/>
      <c r="C1354" s="1782"/>
      <c r="D1354" s="1782"/>
      <c r="E1354" s="1782"/>
      <c r="F1354" s="1777"/>
      <c r="G1354" s="1782"/>
    </row>
    <row r="1355" spans="1:29" ht="13.8" x14ac:dyDescent="0.25">
      <c r="A1355" s="1775"/>
      <c r="B1355" s="1782"/>
      <c r="C1355" s="1782"/>
      <c r="D1355" s="1782"/>
      <c r="E1355" s="1782"/>
      <c r="F1355" s="1777"/>
      <c r="G1355" s="1782"/>
    </row>
    <row r="1356" spans="1:29" ht="13.8" x14ac:dyDescent="0.25">
      <c r="A1356" s="2716" t="s">
        <v>2260</v>
      </c>
      <c r="B1356" s="2716"/>
      <c r="C1356" s="2716"/>
      <c r="D1356" s="2716"/>
      <c r="E1356" s="2716"/>
      <c r="F1356" s="2716"/>
      <c r="G1356" s="1783">
        <f>G1347+G1353</f>
        <v>30430</v>
      </c>
    </row>
    <row r="1357" spans="1:29" ht="13.8" x14ac:dyDescent="0.25">
      <c r="A1357" s="2716" t="s">
        <v>2164</v>
      </c>
      <c r="B1357" s="2716"/>
      <c r="C1357" s="2716"/>
      <c r="D1357" s="2716"/>
      <c r="E1357" s="2716"/>
      <c r="F1357" s="2716"/>
      <c r="G1357" s="1783">
        <f>G1356/100</f>
        <v>304.3</v>
      </c>
    </row>
    <row r="1358" spans="1:29" ht="13.8" x14ac:dyDescent="0.25">
      <c r="A1358" s="2716" t="s">
        <v>2261</v>
      </c>
      <c r="B1358" s="2716"/>
      <c r="C1358" s="2716"/>
      <c r="D1358" s="2716"/>
      <c r="E1358" s="2716"/>
      <c r="F1358" s="2716"/>
      <c r="G1358" s="1822">
        <f>G1357*3.28</f>
        <v>998.10399999999993</v>
      </c>
    </row>
    <row r="1359" spans="1:29" ht="13.8" x14ac:dyDescent="0.25">
      <c r="K1359" s="1772"/>
      <c r="L1359" s="1772"/>
      <c r="M1359" s="1772"/>
      <c r="N1359" s="1772"/>
      <c r="O1359" s="1785"/>
      <c r="P1359" s="1785"/>
      <c r="Q1359" s="1785"/>
      <c r="R1359" s="1785"/>
      <c r="S1359" s="1785"/>
      <c r="T1359" s="1785"/>
      <c r="U1359" s="1785"/>
      <c r="V1359" s="1758"/>
      <c r="Y1359" s="1809"/>
      <c r="Z1359" s="1809"/>
      <c r="AA1359" s="1809"/>
      <c r="AB1359" s="1809"/>
      <c r="AC1359" s="1809"/>
    </row>
    <row r="1360" spans="1:29" ht="14.4" thickBot="1" x14ac:dyDescent="0.3">
      <c r="K1360" s="1772"/>
      <c r="L1360" s="1772"/>
      <c r="M1360" s="1772"/>
      <c r="N1360" s="1772"/>
      <c r="O1360" s="1785"/>
      <c r="P1360" s="1785"/>
      <c r="Q1360" s="1785"/>
      <c r="R1360" s="1785"/>
      <c r="S1360" s="1785"/>
      <c r="T1360" s="1785"/>
      <c r="U1360" s="1785"/>
      <c r="V1360" s="1758"/>
      <c r="Y1360" s="1809"/>
      <c r="Z1360" s="1809"/>
      <c r="AA1360" s="1809"/>
      <c r="AB1360" s="1809"/>
      <c r="AC1360" s="1809"/>
    </row>
    <row r="1361" spans="1:9" ht="13.8" x14ac:dyDescent="0.25">
      <c r="A1361" s="2717" t="s">
        <v>2262</v>
      </c>
      <c r="B1361" s="2718"/>
      <c r="C1361" s="2718"/>
      <c r="D1361" s="2718"/>
      <c r="E1361" s="2718"/>
      <c r="F1361" s="2718"/>
      <c r="G1361" s="2719"/>
    </row>
    <row r="1362" spans="1:9" ht="14.4" thickBot="1" x14ac:dyDescent="0.3">
      <c r="A1362" s="2720" t="s">
        <v>2093</v>
      </c>
      <c r="B1362" s="2721"/>
      <c r="C1362" s="2721"/>
      <c r="D1362" s="2721"/>
      <c r="E1362" s="2721"/>
      <c r="F1362" s="2721"/>
      <c r="G1362" s="2722"/>
    </row>
    <row r="1363" spans="1:9" ht="14.4" thickBot="1" x14ac:dyDescent="0.3">
      <c r="A1363" s="1773"/>
      <c r="B1363" s="1774" t="s">
        <v>2094</v>
      </c>
      <c r="C1363" s="1774" t="s">
        <v>2095</v>
      </c>
      <c r="D1363" s="1774" t="s">
        <v>2</v>
      </c>
      <c r="E1363" s="1774" t="s">
        <v>2096</v>
      </c>
      <c r="F1363" s="1774" t="s">
        <v>5</v>
      </c>
      <c r="G1363" s="1774" t="s">
        <v>2097</v>
      </c>
    </row>
    <row r="1364" spans="1:9" ht="13.8" x14ac:dyDescent="0.25">
      <c r="A1364" s="1775"/>
      <c r="B1364" s="1775"/>
      <c r="C1364" s="1776"/>
      <c r="D1364" s="1777"/>
      <c r="E1364" s="1777"/>
      <c r="F1364" s="1777"/>
      <c r="G1364" s="1777"/>
      <c r="I1364" s="2014">
        <f>5000/10.76</f>
        <v>464.68401486988847</v>
      </c>
    </row>
    <row r="1365" spans="1:9" ht="13.8" x14ac:dyDescent="0.25">
      <c r="A1365" s="1775"/>
      <c r="B1365" s="1778" t="s">
        <v>2111</v>
      </c>
      <c r="C1365" s="1776"/>
      <c r="D1365" s="1777"/>
      <c r="E1365" s="1777"/>
      <c r="F1365" s="1777"/>
      <c r="G1365" s="1777"/>
    </row>
    <row r="1366" spans="1:9" ht="13.8" x14ac:dyDescent="0.25">
      <c r="A1366" s="1830"/>
      <c r="B1366" s="1830" t="s">
        <v>2247</v>
      </c>
      <c r="C1366" s="1831" t="s">
        <v>2126</v>
      </c>
      <c r="D1366" s="1831">
        <v>100</v>
      </c>
      <c r="E1366" s="1831">
        <v>700</v>
      </c>
      <c r="F1366" s="1831">
        <f t="shared" ref="F1366" si="126">D1366*E1366</f>
        <v>70000</v>
      </c>
      <c r="G1366" s="1831"/>
    </row>
    <row r="1367" spans="1:9" ht="13.8" x14ac:dyDescent="0.25">
      <c r="A1367" s="1775"/>
      <c r="B1367" s="1790" t="s">
        <v>2216</v>
      </c>
      <c r="C1367" s="1776"/>
      <c r="D1367" s="1777"/>
      <c r="E1367" s="1777"/>
      <c r="F1367" s="1777">
        <f>F1366*5%</f>
        <v>3500</v>
      </c>
      <c r="G1367" s="1777"/>
    </row>
    <row r="1368" spans="1:9" ht="13.8" x14ac:dyDescent="0.25">
      <c r="A1368" s="1830"/>
      <c r="B1368" s="1830" t="s">
        <v>2159</v>
      </c>
      <c r="C1368" s="1831" t="s">
        <v>1945</v>
      </c>
      <c r="D1368" s="1831">
        <v>1.75</v>
      </c>
      <c r="E1368" s="1831">
        <f>F197</f>
        <v>2235.625</v>
      </c>
      <c r="F1368" s="1831">
        <f>D1368*E1368</f>
        <v>3912.34375</v>
      </c>
      <c r="G1368" s="1831"/>
    </row>
    <row r="1369" spans="1:9" ht="13.8" x14ac:dyDescent="0.25">
      <c r="A1369" s="1830"/>
      <c r="B1369" s="1830" t="s">
        <v>1947</v>
      </c>
      <c r="C1369" s="1831" t="s">
        <v>131</v>
      </c>
      <c r="D1369" s="1831">
        <v>0.08</v>
      </c>
      <c r="E1369" s="1831">
        <f>Material!E13</f>
        <v>23500</v>
      </c>
      <c r="F1369" s="1831">
        <f>D1369*E1369</f>
        <v>1880</v>
      </c>
      <c r="G1369" s="1831"/>
    </row>
    <row r="1370" spans="1:9" ht="13.8" x14ac:dyDescent="0.25">
      <c r="A1370" s="1830"/>
      <c r="B1370" s="1830" t="s">
        <v>2254</v>
      </c>
      <c r="C1370" s="1831" t="s">
        <v>1945</v>
      </c>
      <c r="D1370" s="1831">
        <v>2.86</v>
      </c>
      <c r="E1370" s="1831">
        <f>Material!E137</f>
        <v>1800</v>
      </c>
      <c r="F1370" s="1831">
        <f t="shared" ref="F1370:F1371" si="127">D1370*E1370</f>
        <v>5148</v>
      </c>
      <c r="G1370" s="1831"/>
    </row>
    <row r="1371" spans="1:9" ht="13.8" x14ac:dyDescent="0.25">
      <c r="A1371" s="1830"/>
      <c r="B1371" s="1830" t="s">
        <v>2249</v>
      </c>
      <c r="C1371" s="1831" t="s">
        <v>1945</v>
      </c>
      <c r="D1371" s="1831">
        <v>1</v>
      </c>
      <c r="E1371" s="1831">
        <f>Material!E138</f>
        <v>280</v>
      </c>
      <c r="F1371" s="1831">
        <f t="shared" si="127"/>
        <v>280</v>
      </c>
      <c r="G1371" s="1831"/>
    </row>
    <row r="1372" spans="1:9" ht="13.8" x14ac:dyDescent="0.25">
      <c r="A1372" s="1830"/>
      <c r="B1372" s="1832" t="s">
        <v>2076</v>
      </c>
      <c r="C1372" s="1831" t="s">
        <v>2250</v>
      </c>
      <c r="D1372" s="1831"/>
      <c r="E1372" s="1831"/>
      <c r="F1372" s="1831">
        <v>500</v>
      </c>
      <c r="G1372" s="1831"/>
    </row>
    <row r="1373" spans="1:9" ht="13.8" x14ac:dyDescent="0.25">
      <c r="A1373" s="1775"/>
      <c r="B1373" s="1776"/>
      <c r="C1373" s="1777"/>
      <c r="D1373" s="1777"/>
      <c r="E1373" s="1777"/>
      <c r="F1373" s="1777"/>
      <c r="G1373" s="1777"/>
    </row>
    <row r="1374" spans="1:9" ht="13.8" x14ac:dyDescent="0.25">
      <c r="A1374" s="1775"/>
      <c r="B1374" s="1776" t="s">
        <v>2251</v>
      </c>
      <c r="C1374" s="1777"/>
      <c r="D1374" s="1777"/>
      <c r="E1374" s="1777"/>
      <c r="F1374" s="1777">
        <v>1000</v>
      </c>
      <c r="G1374" s="1777"/>
    </row>
    <row r="1375" spans="1:9" ht="13.8" x14ac:dyDescent="0.25">
      <c r="A1375" s="1775"/>
      <c r="B1375" s="1776"/>
      <c r="C1375" s="1777"/>
      <c r="D1375" s="1777"/>
      <c r="E1375" s="1777"/>
      <c r="F1375" s="1777"/>
      <c r="G1375" s="1777"/>
    </row>
    <row r="1376" spans="1:9" ht="13.8" x14ac:dyDescent="0.25">
      <c r="A1376" s="1775"/>
      <c r="B1376" s="1775"/>
      <c r="C1376" s="1776"/>
      <c r="D1376" s="1777"/>
      <c r="E1376" s="1777"/>
      <c r="F1376" s="1777"/>
      <c r="G1376" s="1777"/>
    </row>
    <row r="1377" spans="1:8" ht="13.8" x14ac:dyDescent="0.25">
      <c r="A1377" s="1779"/>
      <c r="B1377" s="2723" t="s">
        <v>2112</v>
      </c>
      <c r="C1377" s="2723"/>
      <c r="D1377" s="2723"/>
      <c r="E1377" s="2723"/>
      <c r="F1377" s="1780"/>
      <c r="G1377" s="1781">
        <f>SUM(F1366:F1377)</f>
        <v>86220.34375</v>
      </c>
    </row>
    <row r="1378" spans="1:8" ht="13.8" x14ac:dyDescent="0.25">
      <c r="A1378" s="1775"/>
      <c r="B1378" s="1778" t="s">
        <v>2098</v>
      </c>
      <c r="C1378" s="1776"/>
      <c r="D1378" s="1777"/>
      <c r="E1378" s="1777"/>
      <c r="F1378" s="1777"/>
      <c r="G1378" s="1777"/>
    </row>
    <row r="1379" spans="1:8" ht="13.8" x14ac:dyDescent="0.25">
      <c r="A1379" s="1830"/>
      <c r="B1379" s="1830" t="s">
        <v>2106</v>
      </c>
      <c r="C1379" s="1831" t="s">
        <v>2126</v>
      </c>
      <c r="D1379" s="1831">
        <v>100</v>
      </c>
      <c r="E1379" s="1831">
        <v>400</v>
      </c>
      <c r="F1379" s="1831">
        <f>D1379*E1379</f>
        <v>40000</v>
      </c>
      <c r="G1379" s="1831"/>
    </row>
    <row r="1380" spans="1:8" ht="13.8" x14ac:dyDescent="0.25">
      <c r="A1380" s="1775"/>
      <c r="B1380" s="1775"/>
      <c r="C1380" s="1777"/>
      <c r="D1380" s="1777"/>
      <c r="E1380" s="1777"/>
      <c r="F1380" s="1777"/>
      <c r="G1380" s="1777"/>
    </row>
    <row r="1381" spans="1:8" ht="13.8" x14ac:dyDescent="0.25">
      <c r="A1381" s="1775"/>
      <c r="B1381" s="1775"/>
      <c r="C1381" s="1777"/>
      <c r="D1381" s="1777"/>
      <c r="E1381" s="1777"/>
      <c r="F1381" s="1777"/>
      <c r="G1381" s="1777"/>
    </row>
    <row r="1382" spans="1:8" ht="13.8" x14ac:dyDescent="0.25">
      <c r="A1382" s="1775"/>
      <c r="B1382" s="1775"/>
      <c r="C1382" s="1776"/>
      <c r="D1382" s="1777"/>
      <c r="E1382" s="1777"/>
      <c r="F1382" s="1777"/>
      <c r="G1382" s="1777"/>
    </row>
    <row r="1383" spans="1:8" ht="13.8" x14ac:dyDescent="0.25">
      <c r="A1383" s="1779"/>
      <c r="B1383" s="2723" t="s">
        <v>2100</v>
      </c>
      <c r="C1383" s="2723"/>
      <c r="D1383" s="2723"/>
      <c r="E1383" s="2723"/>
      <c r="F1383" s="1780"/>
      <c r="G1383" s="1781">
        <f>SUM(F1379:F1383)</f>
        <v>40000</v>
      </c>
    </row>
    <row r="1384" spans="1:8" ht="13.8" x14ac:dyDescent="0.25">
      <c r="A1384" s="1775"/>
      <c r="B1384" s="1782"/>
      <c r="C1384" s="1782"/>
      <c r="D1384" s="1782"/>
      <c r="E1384" s="1782"/>
      <c r="F1384" s="1777"/>
      <c r="G1384" s="1782"/>
    </row>
    <row r="1385" spans="1:8" ht="13.8" x14ac:dyDescent="0.25">
      <c r="A1385" s="1775"/>
      <c r="B1385" s="1782"/>
      <c r="C1385" s="1782"/>
      <c r="D1385" s="1782"/>
      <c r="E1385" s="1782"/>
      <c r="F1385" s="1777"/>
      <c r="G1385" s="1782"/>
    </row>
    <row r="1386" spans="1:8" ht="13.8" x14ac:dyDescent="0.25">
      <c r="A1386" s="2716" t="s">
        <v>2127</v>
      </c>
      <c r="B1386" s="2716"/>
      <c r="C1386" s="2716"/>
      <c r="D1386" s="2716"/>
      <c r="E1386" s="2716"/>
      <c r="F1386" s="2716"/>
      <c r="G1386" s="1783">
        <f>G1377+G1383</f>
        <v>126220.34375</v>
      </c>
    </row>
    <row r="1387" spans="1:8" ht="13.8" x14ac:dyDescent="0.25">
      <c r="A1387" s="2716" t="s">
        <v>2128</v>
      </c>
      <c r="B1387" s="2716"/>
      <c r="C1387" s="2716"/>
      <c r="D1387" s="2716"/>
      <c r="E1387" s="2716"/>
      <c r="F1387" s="2716"/>
      <c r="G1387" s="1783">
        <f>G1386/9.29</f>
        <v>13586.689316469323</v>
      </c>
    </row>
    <row r="1388" spans="1:8" ht="13.8" x14ac:dyDescent="0.25">
      <c r="A1388" s="2716" t="s">
        <v>2129</v>
      </c>
      <c r="B1388" s="2716"/>
      <c r="C1388" s="2716"/>
      <c r="D1388" s="2716"/>
      <c r="E1388" s="2716"/>
      <c r="F1388" s="2716"/>
      <c r="G1388" s="1822">
        <f>G1387/10.76</f>
        <v>1262.7034680733573</v>
      </c>
    </row>
    <row r="1389" spans="1:8" ht="13.8" x14ac:dyDescent="0.25">
      <c r="H1389" s="2075"/>
    </row>
    <row r="1390" spans="1:8" ht="14.4" thickBot="1" x14ac:dyDescent="0.3">
      <c r="H1390" s="2075"/>
    </row>
    <row r="1391" spans="1:8" ht="13.8" x14ac:dyDescent="0.25">
      <c r="A1391" s="2717" t="s">
        <v>2262</v>
      </c>
      <c r="B1391" s="2718"/>
      <c r="C1391" s="2718"/>
      <c r="D1391" s="2718"/>
      <c r="E1391" s="2718"/>
      <c r="F1391" s="2718"/>
      <c r="G1391" s="2719"/>
    </row>
    <row r="1392" spans="1:8" ht="14.4" thickBot="1" x14ac:dyDescent="0.3">
      <c r="A1392" s="2720" t="s">
        <v>2093</v>
      </c>
      <c r="B1392" s="2721"/>
      <c r="C1392" s="2721"/>
      <c r="D1392" s="2721"/>
      <c r="E1392" s="2721"/>
      <c r="F1392" s="2721"/>
      <c r="G1392" s="2722"/>
    </row>
    <row r="1393" spans="1:9" ht="14.4" thickBot="1" x14ac:dyDescent="0.3">
      <c r="A1393" s="1773"/>
      <c r="B1393" s="1774" t="s">
        <v>2094</v>
      </c>
      <c r="C1393" s="1774" t="s">
        <v>2095</v>
      </c>
      <c r="D1393" s="1774" t="s">
        <v>2</v>
      </c>
      <c r="E1393" s="1774" t="s">
        <v>2096</v>
      </c>
      <c r="F1393" s="1774" t="s">
        <v>5</v>
      </c>
      <c r="G1393" s="1774" t="s">
        <v>2097</v>
      </c>
    </row>
    <row r="1394" spans="1:9" ht="13.8" x14ac:dyDescent="0.25">
      <c r="A1394" s="1775"/>
      <c r="B1394" s="1775"/>
      <c r="C1394" s="1776"/>
      <c r="D1394" s="1777"/>
      <c r="E1394" s="1777"/>
      <c r="F1394" s="1777"/>
      <c r="G1394" s="1777"/>
      <c r="I1394" s="2014">
        <f>5000/10.76</f>
        <v>464.68401486988847</v>
      </c>
    </row>
    <row r="1395" spans="1:9" ht="13.8" x14ac:dyDescent="0.25">
      <c r="A1395" s="1775"/>
      <c r="B1395" s="1778" t="s">
        <v>2111</v>
      </c>
      <c r="C1395" s="1776"/>
      <c r="D1395" s="1777"/>
      <c r="E1395" s="1777"/>
      <c r="F1395" s="1777"/>
      <c r="G1395" s="1777"/>
    </row>
    <row r="1396" spans="1:9" ht="13.8" x14ac:dyDescent="0.25">
      <c r="A1396" s="1830"/>
      <c r="B1396" s="1830" t="s">
        <v>2337</v>
      </c>
      <c r="C1396" s="1831" t="s">
        <v>2126</v>
      </c>
      <c r="D1396" s="1831">
        <v>100</v>
      </c>
      <c r="E1396" s="1831">
        <v>600</v>
      </c>
      <c r="F1396" s="1831">
        <f t="shared" ref="F1396" si="128">D1396*E1396</f>
        <v>60000</v>
      </c>
      <c r="G1396" s="1831"/>
    </row>
    <row r="1397" spans="1:9" ht="13.8" x14ac:dyDescent="0.25">
      <c r="A1397" s="1775"/>
      <c r="B1397" s="1790" t="s">
        <v>2216</v>
      </c>
      <c r="C1397" s="1776"/>
      <c r="D1397" s="1777"/>
      <c r="E1397" s="1777"/>
      <c r="F1397" s="1777">
        <f>F1396*5%</f>
        <v>3000</v>
      </c>
      <c r="G1397" s="1777"/>
    </row>
    <row r="1398" spans="1:9" ht="13.8" x14ac:dyDescent="0.25">
      <c r="A1398" s="1830"/>
      <c r="B1398" s="1830" t="s">
        <v>2159</v>
      </c>
      <c r="C1398" s="1831" t="s">
        <v>1945</v>
      </c>
      <c r="D1398" s="1831">
        <v>1.75</v>
      </c>
      <c r="E1398" s="1831">
        <f>F197</f>
        <v>2235.625</v>
      </c>
      <c r="F1398" s="1831">
        <f>D1398*E1398</f>
        <v>3912.34375</v>
      </c>
      <c r="G1398" s="1831"/>
    </row>
    <row r="1399" spans="1:9" ht="13.8" x14ac:dyDescent="0.25">
      <c r="A1399" s="1830"/>
      <c r="B1399" s="1830" t="s">
        <v>1947</v>
      </c>
      <c r="C1399" s="1831" t="s">
        <v>131</v>
      </c>
      <c r="D1399" s="1831">
        <v>0.08</v>
      </c>
      <c r="E1399" s="1831">
        <f>Material!E13</f>
        <v>23500</v>
      </c>
      <c r="F1399" s="1831">
        <f>D1399*E1399</f>
        <v>1880</v>
      </c>
      <c r="G1399" s="1831"/>
    </row>
    <row r="1400" spans="1:9" ht="13.8" x14ac:dyDescent="0.25">
      <c r="A1400" s="1830"/>
      <c r="B1400" s="1830" t="s">
        <v>2254</v>
      </c>
      <c r="C1400" s="1831" t="s">
        <v>1945</v>
      </c>
      <c r="D1400" s="1831">
        <v>2.86</v>
      </c>
      <c r="E1400" s="1831">
        <f>Material!E137</f>
        <v>1800</v>
      </c>
      <c r="F1400" s="1831">
        <f t="shared" ref="F1400:F1401" si="129">D1400*E1400</f>
        <v>5148</v>
      </c>
      <c r="G1400" s="1831"/>
    </row>
    <row r="1401" spans="1:9" ht="13.8" x14ac:dyDescent="0.25">
      <c r="A1401" s="1830"/>
      <c r="B1401" s="1830" t="s">
        <v>2249</v>
      </c>
      <c r="C1401" s="1831" t="s">
        <v>1945</v>
      </c>
      <c r="D1401" s="1831">
        <v>1</v>
      </c>
      <c r="E1401" s="1831">
        <f>Material!E138</f>
        <v>280</v>
      </c>
      <c r="F1401" s="1831">
        <f t="shared" si="129"/>
        <v>280</v>
      </c>
      <c r="G1401" s="1831"/>
    </row>
    <row r="1402" spans="1:9" ht="13.8" x14ac:dyDescent="0.25">
      <c r="A1402" s="1830"/>
      <c r="B1402" s="1832" t="s">
        <v>2076</v>
      </c>
      <c r="C1402" s="1831" t="s">
        <v>2250</v>
      </c>
      <c r="D1402" s="1831"/>
      <c r="E1402" s="1831"/>
      <c r="F1402" s="1831">
        <v>500</v>
      </c>
      <c r="G1402" s="1831"/>
    </row>
    <row r="1403" spans="1:9" ht="13.8" x14ac:dyDescent="0.25">
      <c r="A1403" s="1775"/>
      <c r="B1403" s="1776"/>
      <c r="C1403" s="1777"/>
      <c r="D1403" s="1777"/>
      <c r="E1403" s="1777"/>
      <c r="F1403" s="1777"/>
      <c r="G1403" s="1777"/>
    </row>
    <row r="1404" spans="1:9" ht="13.8" x14ac:dyDescent="0.25">
      <c r="A1404" s="1775"/>
      <c r="B1404" s="1776" t="s">
        <v>2251</v>
      </c>
      <c r="C1404" s="1777"/>
      <c r="D1404" s="1777"/>
      <c r="E1404" s="1777"/>
      <c r="F1404" s="1777">
        <v>1000</v>
      </c>
      <c r="G1404" s="1777"/>
    </row>
    <row r="1405" spans="1:9" ht="13.8" x14ac:dyDescent="0.25">
      <c r="A1405" s="1775"/>
      <c r="B1405" s="1776"/>
      <c r="C1405" s="1777"/>
      <c r="D1405" s="1777"/>
      <c r="E1405" s="1777"/>
      <c r="F1405" s="1777"/>
      <c r="G1405" s="1777"/>
    </row>
    <row r="1406" spans="1:9" ht="13.8" x14ac:dyDescent="0.25">
      <c r="A1406" s="1775"/>
      <c r="B1406" s="1775"/>
      <c r="C1406" s="1776"/>
      <c r="D1406" s="1777"/>
      <c r="E1406" s="1777"/>
      <c r="F1406" s="1777">
        <f t="shared" ref="F1406" si="130">D1406*E1406</f>
        <v>0</v>
      </c>
      <c r="G1406" s="1777"/>
    </row>
    <row r="1407" spans="1:9" ht="13.8" x14ac:dyDescent="0.25">
      <c r="A1407" s="1779"/>
      <c r="B1407" s="2723" t="s">
        <v>2112</v>
      </c>
      <c r="C1407" s="2723"/>
      <c r="D1407" s="2723"/>
      <c r="E1407" s="2723"/>
      <c r="F1407" s="1780"/>
      <c r="G1407" s="1781">
        <f>SUM(F1396:F1407)</f>
        <v>75720.34375</v>
      </c>
    </row>
    <row r="1408" spans="1:9" ht="13.8" x14ac:dyDescent="0.25">
      <c r="A1408" s="1775"/>
      <c r="B1408" s="1778" t="s">
        <v>2098</v>
      </c>
      <c r="C1408" s="1776"/>
      <c r="D1408" s="1777"/>
      <c r="E1408" s="1777"/>
      <c r="F1408" s="1777">
        <f t="shared" ref="F1408:F1409" si="131">D1408*E1408</f>
        <v>0</v>
      </c>
      <c r="G1408" s="1777"/>
    </row>
    <row r="1409" spans="1:9" ht="13.8" x14ac:dyDescent="0.25">
      <c r="A1409" s="1830"/>
      <c r="B1409" s="1830" t="s">
        <v>2106</v>
      </c>
      <c r="C1409" s="1831" t="s">
        <v>2126</v>
      </c>
      <c r="D1409" s="1831">
        <v>100</v>
      </c>
      <c r="E1409" s="1831">
        <v>160</v>
      </c>
      <c r="F1409" s="1831">
        <f t="shared" si="131"/>
        <v>16000</v>
      </c>
      <c r="G1409" s="1831"/>
    </row>
    <row r="1410" spans="1:9" ht="13.8" x14ac:dyDescent="0.25">
      <c r="A1410" s="1775"/>
      <c r="B1410" s="1775"/>
      <c r="C1410" s="1777"/>
      <c r="D1410" s="1777"/>
      <c r="E1410" s="1777"/>
      <c r="F1410" s="1777"/>
      <c r="G1410" s="1777"/>
    </row>
    <row r="1411" spans="1:9" ht="13.8" x14ac:dyDescent="0.25">
      <c r="A1411" s="1775"/>
      <c r="B1411" s="1775"/>
      <c r="C1411" s="1777"/>
      <c r="D1411" s="1777"/>
      <c r="E1411" s="1777"/>
      <c r="F1411" s="1777"/>
      <c r="G1411" s="1777"/>
    </row>
    <row r="1412" spans="1:9" ht="13.8" x14ac:dyDescent="0.25">
      <c r="A1412" s="1775"/>
      <c r="B1412" s="1775"/>
      <c r="C1412" s="1776"/>
      <c r="D1412" s="1777"/>
      <c r="E1412" s="1777"/>
      <c r="F1412" s="1777"/>
      <c r="G1412" s="1777"/>
    </row>
    <row r="1413" spans="1:9" ht="13.8" x14ac:dyDescent="0.25">
      <c r="A1413" s="1779"/>
      <c r="B1413" s="2723" t="s">
        <v>2100</v>
      </c>
      <c r="C1413" s="2723"/>
      <c r="D1413" s="2723"/>
      <c r="E1413" s="2723"/>
      <c r="F1413" s="1780">
        <f t="shared" ref="F1413" si="132">D1413*E1413</f>
        <v>0</v>
      </c>
      <c r="G1413" s="1781">
        <f>SUM(F1409:F1413)</f>
        <v>16000</v>
      </c>
    </row>
    <row r="1414" spans="1:9" ht="13.8" x14ac:dyDescent="0.25">
      <c r="A1414" s="1775"/>
      <c r="B1414" s="1782"/>
      <c r="C1414" s="1782"/>
      <c r="D1414" s="1782"/>
      <c r="E1414" s="1782"/>
      <c r="F1414" s="1777"/>
      <c r="G1414" s="1782"/>
    </row>
    <row r="1415" spans="1:9" ht="13.8" x14ac:dyDescent="0.25">
      <c r="A1415" s="1775"/>
      <c r="B1415" s="1782"/>
      <c r="C1415" s="1782"/>
      <c r="D1415" s="1782"/>
      <c r="E1415" s="1782"/>
      <c r="F1415" s="1777"/>
      <c r="G1415" s="1782"/>
    </row>
    <row r="1416" spans="1:9" ht="13.8" x14ac:dyDescent="0.25">
      <c r="A1416" s="2716" t="s">
        <v>2127</v>
      </c>
      <c r="B1416" s="2716"/>
      <c r="C1416" s="2716"/>
      <c r="D1416" s="2716"/>
      <c r="E1416" s="2716"/>
      <c r="F1416" s="2716"/>
      <c r="G1416" s="1783">
        <f>G1407+G1413</f>
        <v>91720.34375</v>
      </c>
    </row>
    <row r="1417" spans="1:9" ht="13.8" x14ac:dyDescent="0.25">
      <c r="A1417" s="2716" t="s">
        <v>2128</v>
      </c>
      <c r="B1417" s="2716"/>
      <c r="C1417" s="2716"/>
      <c r="D1417" s="2716"/>
      <c r="E1417" s="2716"/>
      <c r="F1417" s="2716"/>
      <c r="G1417" s="1783">
        <f>G1416/9.29</f>
        <v>9873.0187029063527</v>
      </c>
    </row>
    <row r="1418" spans="1:9" ht="13.8" x14ac:dyDescent="0.25">
      <c r="A1418" s="2716" t="s">
        <v>2129</v>
      </c>
      <c r="B1418" s="2716"/>
      <c r="C1418" s="2716"/>
      <c r="D1418" s="2716"/>
      <c r="E1418" s="2716"/>
      <c r="F1418" s="2716"/>
      <c r="G1418" s="1822">
        <f>G1417/10.76</f>
        <v>917.56679395040453</v>
      </c>
    </row>
    <row r="1419" spans="1:9" ht="13.8" x14ac:dyDescent="0.25">
      <c r="H1419" s="2075"/>
    </row>
    <row r="1420" spans="1:9" ht="14.4" thickBot="1" x14ac:dyDescent="0.3">
      <c r="H1420" s="2075"/>
    </row>
    <row r="1421" spans="1:9" ht="13.8" x14ac:dyDescent="0.25">
      <c r="A1421" s="2717" t="s">
        <v>2263</v>
      </c>
      <c r="B1421" s="2718"/>
      <c r="C1421" s="2718"/>
      <c r="D1421" s="2718"/>
      <c r="E1421" s="2718"/>
      <c r="F1421" s="2718"/>
      <c r="G1421" s="2719"/>
    </row>
    <row r="1422" spans="1:9" ht="14.4" thickBot="1" x14ac:dyDescent="0.3">
      <c r="A1422" s="2720" t="s">
        <v>2093</v>
      </c>
      <c r="B1422" s="2721"/>
      <c r="C1422" s="2721"/>
      <c r="D1422" s="2721"/>
      <c r="E1422" s="2721"/>
      <c r="F1422" s="2721"/>
      <c r="G1422" s="2722"/>
    </row>
    <row r="1423" spans="1:9" ht="14.4" thickBot="1" x14ac:dyDescent="0.3">
      <c r="A1423" s="1773"/>
      <c r="B1423" s="1774" t="s">
        <v>2094</v>
      </c>
      <c r="C1423" s="1774" t="s">
        <v>2095</v>
      </c>
      <c r="D1423" s="1774" t="s">
        <v>2</v>
      </c>
      <c r="E1423" s="1774" t="s">
        <v>2096</v>
      </c>
      <c r="F1423" s="1774" t="s">
        <v>5</v>
      </c>
      <c r="G1423" s="1774" t="s">
        <v>2097</v>
      </c>
    </row>
    <row r="1424" spans="1:9" ht="13.8" x14ac:dyDescent="0.25">
      <c r="A1424" s="1775"/>
      <c r="B1424" s="1775"/>
      <c r="C1424" s="1776"/>
      <c r="D1424" s="1777"/>
      <c r="E1424" s="1777"/>
      <c r="F1424" s="1777"/>
      <c r="G1424" s="1777"/>
      <c r="I1424" s="2014">
        <f>5000/10.76</f>
        <v>464.68401486988847</v>
      </c>
    </row>
    <row r="1425" spans="1:9" ht="13.8" x14ac:dyDescent="0.25">
      <c r="A1425" s="1788"/>
      <c r="B1425" s="1823" t="s">
        <v>2111</v>
      </c>
      <c r="C1425" s="1714"/>
      <c r="D1425" s="1789"/>
      <c r="E1425" s="1789"/>
      <c r="F1425" s="1789"/>
      <c r="G1425" s="1789"/>
    </row>
    <row r="1426" spans="1:9" ht="13.8" x14ac:dyDescent="0.25">
      <c r="A1426" s="1788"/>
      <c r="B1426" s="1788" t="s">
        <v>2264</v>
      </c>
      <c r="C1426" s="1789" t="s">
        <v>2126</v>
      </c>
      <c r="D1426" s="1789">
        <v>100</v>
      </c>
      <c r="E1426" s="1789">
        <v>700</v>
      </c>
      <c r="F1426" s="1789">
        <f t="shared" ref="F1426" si="133">D1426*E1426</f>
        <v>70000</v>
      </c>
      <c r="G1426" s="1789"/>
    </row>
    <row r="1427" spans="1:9" ht="13.8" x14ac:dyDescent="0.25">
      <c r="A1427" s="1788"/>
      <c r="B1427" s="1817" t="s">
        <v>2216</v>
      </c>
      <c r="C1427" s="1714"/>
      <c r="D1427" s="1789"/>
      <c r="E1427" s="1789"/>
      <c r="F1427" s="1789">
        <f>F1426*5%</f>
        <v>3500</v>
      </c>
      <c r="G1427" s="1789"/>
      <c r="I1427" s="2014">
        <f>100/3</f>
        <v>33.333333333333336</v>
      </c>
    </row>
    <row r="1428" spans="1:9" ht="13.8" x14ac:dyDescent="0.25">
      <c r="A1428" s="1788"/>
      <c r="B1428" s="1788"/>
      <c r="C1428" s="1789"/>
      <c r="D1428" s="1789"/>
      <c r="E1428" s="1789"/>
      <c r="F1428" s="1789"/>
      <c r="G1428" s="1789"/>
    </row>
    <row r="1429" spans="1:9" ht="13.8" x14ac:dyDescent="0.25">
      <c r="A1429" s="1788"/>
      <c r="B1429" s="1788"/>
      <c r="C1429" s="1789"/>
      <c r="D1429" s="1789"/>
      <c r="E1429" s="1789"/>
      <c r="F1429" s="1789"/>
      <c r="G1429" s="1789"/>
    </row>
    <row r="1430" spans="1:9" ht="13.8" x14ac:dyDescent="0.25">
      <c r="A1430" s="1788"/>
      <c r="B1430" s="1788" t="s">
        <v>2159</v>
      </c>
      <c r="C1430" s="1789" t="s">
        <v>1945</v>
      </c>
      <c r="D1430" s="1789">
        <v>3</v>
      </c>
      <c r="E1430" s="1789">
        <f>F197</f>
        <v>2235.625</v>
      </c>
      <c r="F1430" s="1789">
        <f t="shared" ref="F1430:F1431" si="134">D1430*E1430</f>
        <v>6706.875</v>
      </c>
      <c r="G1430" s="1789"/>
    </row>
    <row r="1431" spans="1:9" ht="13.8" x14ac:dyDescent="0.25">
      <c r="A1431" s="1788"/>
      <c r="B1431" s="1788" t="s">
        <v>1947</v>
      </c>
      <c r="C1431" s="1789" t="s">
        <v>1945</v>
      </c>
      <c r="D1431" s="1789">
        <v>0.25</v>
      </c>
      <c r="E1431" s="1789">
        <f>Material!E13</f>
        <v>23500</v>
      </c>
      <c r="F1431" s="1789">
        <f t="shared" si="134"/>
        <v>5875</v>
      </c>
      <c r="G1431" s="1789"/>
    </row>
    <row r="1432" spans="1:9" ht="13.8" x14ac:dyDescent="0.25">
      <c r="A1432" s="1788"/>
      <c r="B1432" s="1817"/>
      <c r="C1432" s="1789" t="s">
        <v>2250</v>
      </c>
      <c r="D1432" s="1789"/>
      <c r="E1432" s="1789"/>
      <c r="F1432" s="1789">
        <v>500</v>
      </c>
      <c r="G1432" s="1789"/>
    </row>
    <row r="1433" spans="1:9" ht="13.8" x14ac:dyDescent="0.25">
      <c r="A1433" s="1788"/>
      <c r="B1433" s="1714"/>
      <c r="C1433" s="1789"/>
      <c r="D1433" s="1789"/>
      <c r="E1433" s="1789"/>
      <c r="F1433" s="1789"/>
      <c r="G1433" s="1789"/>
    </row>
    <row r="1434" spans="1:9" ht="13.8" x14ac:dyDescent="0.25">
      <c r="A1434" s="1788"/>
      <c r="B1434" s="1714" t="s">
        <v>2251</v>
      </c>
      <c r="C1434" s="1789"/>
      <c r="D1434" s="1789"/>
      <c r="E1434" s="1789"/>
      <c r="F1434" s="1789">
        <v>1000</v>
      </c>
      <c r="G1434" s="1789"/>
    </row>
    <row r="1435" spans="1:9" ht="13.8" x14ac:dyDescent="0.25">
      <c r="A1435" s="1775"/>
      <c r="B1435" s="1776"/>
      <c r="C1435" s="1777"/>
      <c r="D1435" s="1777"/>
      <c r="E1435" s="1777"/>
      <c r="F1435" s="1777"/>
      <c r="G1435" s="1777"/>
    </row>
    <row r="1436" spans="1:9" ht="13.8" x14ac:dyDescent="0.25">
      <c r="A1436" s="1775"/>
      <c r="B1436" s="1775"/>
      <c r="C1436" s="1776"/>
      <c r="D1436" s="1777"/>
      <c r="E1436" s="1777"/>
      <c r="F1436" s="1777">
        <f t="shared" ref="F1436" si="135">D1436*E1436</f>
        <v>0</v>
      </c>
      <c r="G1436" s="1777"/>
    </row>
    <row r="1437" spans="1:9" ht="13.8" x14ac:dyDescent="0.25">
      <c r="A1437" s="1779"/>
      <c r="B1437" s="2723" t="s">
        <v>2112</v>
      </c>
      <c r="C1437" s="2723"/>
      <c r="D1437" s="2723"/>
      <c r="E1437" s="2723"/>
      <c r="F1437" s="1780"/>
      <c r="G1437" s="1781">
        <f>SUM(F1425:F1437)</f>
        <v>87581.875</v>
      </c>
    </row>
    <row r="1438" spans="1:9" ht="13.8" x14ac:dyDescent="0.25">
      <c r="A1438" s="1775"/>
      <c r="B1438" s="1778" t="s">
        <v>2098</v>
      </c>
      <c r="C1438" s="1776"/>
      <c r="D1438" s="1777"/>
      <c r="E1438" s="1777"/>
      <c r="F1438" s="1777">
        <f t="shared" ref="F1438:F1439" si="136">D1438*E1438</f>
        <v>0</v>
      </c>
      <c r="G1438" s="1777"/>
    </row>
    <row r="1439" spans="1:9" ht="13.8" x14ac:dyDescent="0.25">
      <c r="A1439" s="1788"/>
      <c r="B1439" s="1788" t="s">
        <v>2106</v>
      </c>
      <c r="C1439" s="1789" t="s">
        <v>2206</v>
      </c>
      <c r="D1439" s="1789">
        <v>100</v>
      </c>
      <c r="E1439" s="1789">
        <v>250</v>
      </c>
      <c r="F1439" s="1789">
        <f t="shared" si="136"/>
        <v>25000</v>
      </c>
      <c r="G1439" s="1789"/>
    </row>
    <row r="1440" spans="1:9" ht="13.8" x14ac:dyDescent="0.25">
      <c r="A1440" s="1788"/>
      <c r="B1440" s="1788"/>
      <c r="C1440" s="1789"/>
      <c r="D1440" s="1789"/>
      <c r="E1440" s="1789"/>
      <c r="F1440" s="1789"/>
      <c r="G1440" s="1789"/>
    </row>
    <row r="1441" spans="1:8" ht="13.8" x14ac:dyDescent="0.25">
      <c r="A1441" s="1775"/>
      <c r="B1441" s="1775"/>
      <c r="C1441" s="1777"/>
      <c r="D1441" s="1777"/>
      <c r="E1441" s="1777"/>
      <c r="F1441" s="1777"/>
      <c r="G1441" s="1777"/>
    </row>
    <row r="1442" spans="1:8" ht="13.8" x14ac:dyDescent="0.25">
      <c r="A1442" s="1775"/>
      <c r="B1442" s="1775"/>
      <c r="C1442" s="1776"/>
      <c r="D1442" s="1777"/>
      <c r="E1442" s="1777"/>
      <c r="F1442" s="1777"/>
      <c r="G1442" s="1777"/>
    </row>
    <row r="1443" spans="1:8" ht="13.8" x14ac:dyDescent="0.25">
      <c r="A1443" s="1779"/>
      <c r="B1443" s="2723" t="s">
        <v>2100</v>
      </c>
      <c r="C1443" s="2723"/>
      <c r="D1443" s="2723"/>
      <c r="E1443" s="2723"/>
      <c r="F1443" s="1780">
        <f t="shared" ref="F1443" si="137">D1443*E1443</f>
        <v>0</v>
      </c>
      <c r="G1443" s="1781">
        <f>SUM(F1439:F1443)</f>
        <v>25000</v>
      </c>
    </row>
    <row r="1444" spans="1:8" ht="13.8" x14ac:dyDescent="0.25">
      <c r="A1444" s="1775"/>
      <c r="B1444" s="1782"/>
      <c r="C1444" s="1782"/>
      <c r="D1444" s="1782"/>
      <c r="E1444" s="1782"/>
      <c r="F1444" s="1777"/>
      <c r="G1444" s="1782"/>
    </row>
    <row r="1445" spans="1:8" ht="13.8" x14ac:dyDescent="0.25">
      <c r="A1445" s="1775"/>
      <c r="B1445" s="1782"/>
      <c r="C1445" s="1782"/>
      <c r="D1445" s="1782"/>
      <c r="E1445" s="1782"/>
      <c r="F1445" s="1777"/>
      <c r="G1445" s="1782"/>
    </row>
    <row r="1446" spans="1:8" ht="13.8" x14ac:dyDescent="0.25">
      <c r="A1446" s="2716" t="s">
        <v>2127</v>
      </c>
      <c r="B1446" s="2716"/>
      <c r="C1446" s="2716"/>
      <c r="D1446" s="2716"/>
      <c r="E1446" s="2716"/>
      <c r="F1446" s="2716"/>
      <c r="G1446" s="1783">
        <f>G1437+G1443</f>
        <v>112581.875</v>
      </c>
    </row>
    <row r="1447" spans="1:8" ht="13.8" x14ac:dyDescent="0.25">
      <c r="A1447" s="2716" t="s">
        <v>2129</v>
      </c>
      <c r="B1447" s="2716"/>
      <c r="C1447" s="2716"/>
      <c r="D1447" s="2716"/>
      <c r="E1447" s="2716"/>
      <c r="F1447" s="2716"/>
      <c r="G1447" s="1783">
        <f>G1446/100</f>
        <v>1125.8187499999999</v>
      </c>
    </row>
    <row r="1448" spans="1:8" ht="13.8" x14ac:dyDescent="0.25">
      <c r="A1448" s="2716" t="s">
        <v>2128</v>
      </c>
      <c r="B1448" s="2716"/>
      <c r="C1448" s="2716"/>
      <c r="D1448" s="2716"/>
      <c r="E1448" s="2716"/>
      <c r="F1448" s="2716"/>
      <c r="G1448" s="1822">
        <f>G1447*10.76</f>
        <v>12113.809749999999</v>
      </c>
    </row>
    <row r="1449" spans="1:8" ht="14.4" thickBot="1" x14ac:dyDescent="0.3">
      <c r="H1449" s="2075"/>
    </row>
    <row r="1450" spans="1:8" ht="13.8" x14ac:dyDescent="0.25">
      <c r="A1450" s="2717" t="s">
        <v>2350</v>
      </c>
      <c r="B1450" s="2718"/>
      <c r="C1450" s="2718"/>
      <c r="D1450" s="2718"/>
      <c r="E1450" s="2718"/>
      <c r="F1450" s="2718"/>
      <c r="G1450" s="2719"/>
      <c r="H1450" s="2075"/>
    </row>
    <row r="1451" spans="1:8" ht="14.4" thickBot="1" x14ac:dyDescent="0.3">
      <c r="A1451" s="2720" t="s">
        <v>2093</v>
      </c>
      <c r="B1451" s="2721"/>
      <c r="C1451" s="2721"/>
      <c r="D1451" s="2721"/>
      <c r="E1451" s="2721"/>
      <c r="F1451" s="2721"/>
      <c r="G1451" s="2722"/>
      <c r="H1451" s="2075"/>
    </row>
    <row r="1452" spans="1:8" ht="14.4" thickBot="1" x14ac:dyDescent="0.3">
      <c r="A1452" s="1773"/>
      <c r="B1452" s="1774" t="s">
        <v>2094</v>
      </c>
      <c r="C1452" s="1774" t="s">
        <v>2095</v>
      </c>
      <c r="D1452" s="1774" t="s">
        <v>2</v>
      </c>
      <c r="E1452" s="1774" t="s">
        <v>2096</v>
      </c>
      <c r="F1452" s="1774" t="s">
        <v>5</v>
      </c>
      <c r="G1452" s="1774" t="s">
        <v>2097</v>
      </c>
      <c r="H1452" s="2075"/>
    </row>
    <row r="1453" spans="1:8" ht="13.8" x14ac:dyDescent="0.25">
      <c r="A1453" s="1775"/>
      <c r="B1453" s="1775"/>
      <c r="C1453" s="1776"/>
      <c r="D1453" s="1777"/>
      <c r="E1453" s="1777"/>
      <c r="F1453" s="1777"/>
      <c r="G1453" s="1777"/>
      <c r="H1453" s="2075"/>
    </row>
    <row r="1454" spans="1:8" ht="13.8" x14ac:dyDescent="0.25">
      <c r="A1454" s="1788"/>
      <c r="B1454" s="1823" t="s">
        <v>2111</v>
      </c>
      <c r="C1454" s="1714"/>
      <c r="D1454" s="1789"/>
      <c r="E1454" s="1789"/>
      <c r="F1454" s="1789"/>
      <c r="G1454" s="1789"/>
      <c r="H1454" s="2075"/>
    </row>
    <row r="1455" spans="1:8" ht="13.8" x14ac:dyDescent="0.25">
      <c r="A1455" s="1788"/>
      <c r="B1455" s="1788" t="s">
        <v>2420</v>
      </c>
      <c r="C1455" s="1789" t="s">
        <v>2126</v>
      </c>
      <c r="D1455" s="1789">
        <v>100</v>
      </c>
      <c r="E1455" s="1789">
        <f>4*55</f>
        <v>220</v>
      </c>
      <c r="F1455" s="1789">
        <f t="shared" ref="F1455" si="138">D1455*E1455</f>
        <v>22000</v>
      </c>
      <c r="G1455" s="1789"/>
      <c r="H1455" s="2075"/>
    </row>
    <row r="1456" spans="1:8" ht="13.8" x14ac:dyDescent="0.25">
      <c r="A1456" s="1788"/>
      <c r="B1456" s="1817" t="s">
        <v>2216</v>
      </c>
      <c r="C1456" s="1714"/>
      <c r="D1456" s="1789"/>
      <c r="E1456" s="1789"/>
      <c r="F1456" s="1789">
        <f>F1455*5%</f>
        <v>1100</v>
      </c>
      <c r="G1456" s="1789"/>
      <c r="H1456" s="2075"/>
    </row>
    <row r="1457" spans="1:8" ht="13.8" x14ac:dyDescent="0.25">
      <c r="A1457" s="1788"/>
      <c r="B1457" s="1788"/>
      <c r="C1457" s="1789"/>
      <c r="D1457" s="1789"/>
      <c r="E1457" s="1789"/>
      <c r="F1457" s="1789"/>
      <c r="G1457" s="1789"/>
      <c r="H1457" s="2075"/>
    </row>
    <row r="1458" spans="1:8" ht="13.8" x14ac:dyDescent="0.25">
      <c r="A1458" s="1788"/>
      <c r="B1458" s="1788"/>
      <c r="C1458" s="1789"/>
      <c r="D1458" s="1789"/>
      <c r="E1458" s="1789"/>
      <c r="F1458" s="1789"/>
      <c r="G1458" s="1789"/>
      <c r="H1458" s="2075"/>
    </row>
    <row r="1459" spans="1:8" ht="13.8" x14ac:dyDescent="0.25">
      <c r="A1459" s="1788"/>
      <c r="B1459" s="1788" t="s">
        <v>2159</v>
      </c>
      <c r="C1459" s="1789" t="s">
        <v>1945</v>
      </c>
      <c r="D1459" s="1789">
        <v>3</v>
      </c>
      <c r="E1459" s="1789">
        <f>+F197</f>
        <v>2235.625</v>
      </c>
      <c r="F1459" s="1789">
        <f t="shared" ref="F1459:F1460" si="139">D1459*E1459</f>
        <v>6706.875</v>
      </c>
      <c r="G1459" s="1789"/>
      <c r="H1459" s="2075"/>
    </row>
    <row r="1460" spans="1:8" ht="13.8" x14ac:dyDescent="0.25">
      <c r="A1460" s="1788"/>
      <c r="B1460" s="1788" t="s">
        <v>1947</v>
      </c>
      <c r="C1460" s="1789" t="s">
        <v>1945</v>
      </c>
      <c r="D1460" s="1789">
        <v>0.25</v>
      </c>
      <c r="E1460" s="1789">
        <f>+Material!E13</f>
        <v>23500</v>
      </c>
      <c r="F1460" s="1789">
        <f t="shared" si="139"/>
        <v>5875</v>
      </c>
      <c r="G1460" s="1789"/>
      <c r="H1460" s="2075"/>
    </row>
    <row r="1461" spans="1:8" ht="13.8" x14ac:dyDescent="0.25">
      <c r="A1461" s="1788"/>
      <c r="B1461" s="1817"/>
      <c r="C1461" s="1789" t="s">
        <v>2250</v>
      </c>
      <c r="D1461" s="1789"/>
      <c r="E1461" s="1789"/>
      <c r="F1461" s="1789">
        <v>500</v>
      </c>
      <c r="G1461" s="1789"/>
      <c r="H1461" s="2075"/>
    </row>
    <row r="1462" spans="1:8" ht="13.8" x14ac:dyDescent="0.25">
      <c r="A1462" s="1788"/>
      <c r="B1462" s="1714"/>
      <c r="C1462" s="1789"/>
      <c r="D1462" s="1789"/>
      <c r="E1462" s="1789"/>
      <c r="F1462" s="1789"/>
      <c r="G1462" s="1789"/>
      <c r="H1462" s="2075"/>
    </row>
    <row r="1463" spans="1:8" ht="13.8" x14ac:dyDescent="0.25">
      <c r="A1463" s="1788"/>
      <c r="B1463" s="1714" t="s">
        <v>2251</v>
      </c>
      <c r="C1463" s="1789"/>
      <c r="D1463" s="1789"/>
      <c r="E1463" s="1789"/>
      <c r="F1463" s="1789">
        <v>1000</v>
      </c>
      <c r="G1463" s="1789"/>
      <c r="H1463" s="2075"/>
    </row>
    <row r="1464" spans="1:8" ht="13.8" x14ac:dyDescent="0.25">
      <c r="A1464" s="1775"/>
      <c r="B1464" s="1776"/>
      <c r="C1464" s="1777"/>
      <c r="D1464" s="1777"/>
      <c r="E1464" s="1777"/>
      <c r="F1464" s="1777"/>
      <c r="G1464" s="1777"/>
      <c r="H1464" s="2075"/>
    </row>
    <row r="1465" spans="1:8" ht="13.8" x14ac:dyDescent="0.25">
      <c r="A1465" s="1775"/>
      <c r="B1465" s="1775"/>
      <c r="C1465" s="1776"/>
      <c r="D1465" s="1777"/>
      <c r="E1465" s="1777"/>
      <c r="F1465" s="1777">
        <f t="shared" ref="F1465" si="140">D1465*E1465</f>
        <v>0</v>
      </c>
      <c r="G1465" s="1777"/>
      <c r="H1465" s="2075"/>
    </row>
    <row r="1466" spans="1:8" ht="13.8" x14ac:dyDescent="0.25">
      <c r="A1466" s="1779"/>
      <c r="B1466" s="2723" t="s">
        <v>2112</v>
      </c>
      <c r="C1466" s="2723"/>
      <c r="D1466" s="2723"/>
      <c r="E1466" s="2723"/>
      <c r="F1466" s="1780"/>
      <c r="G1466" s="1921">
        <f>SUM(F1454:F1466)</f>
        <v>37181.875</v>
      </c>
      <c r="H1466" s="2075"/>
    </row>
    <row r="1467" spans="1:8" ht="13.8" x14ac:dyDescent="0.25">
      <c r="A1467" s="1775"/>
      <c r="B1467" s="1778" t="s">
        <v>2098</v>
      </c>
      <c r="C1467" s="1776"/>
      <c r="D1467" s="1777"/>
      <c r="E1467" s="1777"/>
      <c r="F1467" s="1777">
        <f t="shared" ref="F1467:F1468" si="141">D1467*E1467</f>
        <v>0</v>
      </c>
      <c r="G1467" s="1777"/>
      <c r="H1467" s="2075"/>
    </row>
    <row r="1468" spans="1:8" ht="13.8" x14ac:dyDescent="0.25">
      <c r="A1468" s="1788"/>
      <c r="B1468" s="1788" t="s">
        <v>2106</v>
      </c>
      <c r="C1468" s="1789" t="s">
        <v>2206</v>
      </c>
      <c r="D1468" s="1789">
        <v>100</v>
      </c>
      <c r="E1468" s="1789">
        <v>250</v>
      </c>
      <c r="F1468" s="1789">
        <f t="shared" si="141"/>
        <v>25000</v>
      </c>
      <c r="G1468" s="1789"/>
      <c r="H1468" s="2075"/>
    </row>
    <row r="1469" spans="1:8" ht="13.8" x14ac:dyDescent="0.25">
      <c r="A1469" s="1788"/>
      <c r="B1469" s="1788"/>
      <c r="C1469" s="1789"/>
      <c r="D1469" s="1789"/>
      <c r="E1469" s="1789"/>
      <c r="F1469" s="1789"/>
      <c r="G1469" s="1789"/>
      <c r="H1469" s="2075"/>
    </row>
    <row r="1470" spans="1:8" ht="13.8" x14ac:dyDescent="0.25">
      <c r="A1470" s="1775"/>
      <c r="B1470" s="1775"/>
      <c r="C1470" s="1777"/>
      <c r="D1470" s="1777"/>
      <c r="E1470" s="1777"/>
      <c r="F1470" s="1777"/>
      <c r="G1470" s="1777"/>
      <c r="H1470" s="2075"/>
    </row>
    <row r="1471" spans="1:8" ht="13.8" x14ac:dyDescent="0.25">
      <c r="A1471" s="1775"/>
      <c r="B1471" s="1775"/>
      <c r="C1471" s="1776"/>
      <c r="D1471" s="1777"/>
      <c r="E1471" s="1777"/>
      <c r="F1471" s="1777"/>
      <c r="G1471" s="1777"/>
      <c r="H1471" s="2075"/>
    </row>
    <row r="1472" spans="1:8" ht="13.8" x14ac:dyDescent="0.25">
      <c r="A1472" s="1779"/>
      <c r="B1472" s="2723" t="s">
        <v>2100</v>
      </c>
      <c r="C1472" s="2723"/>
      <c r="D1472" s="2723"/>
      <c r="E1472" s="2723"/>
      <c r="F1472" s="1780">
        <f t="shared" ref="F1472" si="142">D1472*E1472</f>
        <v>0</v>
      </c>
      <c r="G1472" s="1921">
        <f>SUM(F1468:F1472)</f>
        <v>25000</v>
      </c>
      <c r="H1472" s="2075"/>
    </row>
    <row r="1473" spans="1:15" ht="13.8" x14ac:dyDescent="0.25">
      <c r="A1473" s="1775"/>
      <c r="B1473" s="1782"/>
      <c r="C1473" s="1782"/>
      <c r="D1473" s="1782"/>
      <c r="E1473" s="1782"/>
      <c r="F1473" s="1777"/>
      <c r="G1473" s="1782"/>
    </row>
    <row r="1474" spans="1:15" ht="13.8" x14ac:dyDescent="0.25">
      <c r="A1474" s="1775"/>
      <c r="B1474" s="1782"/>
      <c r="C1474" s="1782"/>
      <c r="D1474" s="1782"/>
      <c r="E1474" s="1782"/>
      <c r="F1474" s="1777"/>
      <c r="G1474" s="1782"/>
    </row>
    <row r="1475" spans="1:15" ht="13.8" x14ac:dyDescent="0.25">
      <c r="A1475" s="2716" t="s">
        <v>2127</v>
      </c>
      <c r="B1475" s="2716"/>
      <c r="C1475" s="2716"/>
      <c r="D1475" s="2716"/>
      <c r="E1475" s="2716"/>
      <c r="F1475" s="2716"/>
      <c r="G1475" s="1920">
        <f>G1466+G1472</f>
        <v>62181.875</v>
      </c>
    </row>
    <row r="1476" spans="1:15" ht="13.8" x14ac:dyDescent="0.25">
      <c r="A1476" s="2716" t="s">
        <v>2129</v>
      </c>
      <c r="B1476" s="2716"/>
      <c r="C1476" s="2716"/>
      <c r="D1476" s="2716"/>
      <c r="E1476" s="2716"/>
      <c r="F1476" s="2716"/>
      <c r="G1476" s="1920">
        <f>G1475/100</f>
        <v>621.81875000000002</v>
      </c>
    </row>
    <row r="1477" spans="1:15" ht="13.8" x14ac:dyDescent="0.25">
      <c r="A1477" s="2716" t="s">
        <v>2128</v>
      </c>
      <c r="B1477" s="2716"/>
      <c r="C1477" s="2716"/>
      <c r="D1477" s="2716"/>
      <c r="E1477" s="2716"/>
      <c r="F1477" s="2716"/>
      <c r="G1477" s="1922">
        <f>G1476*10.76</f>
        <v>6690.7697500000004</v>
      </c>
    </row>
    <row r="1478" spans="1:15" s="2014" customFormat="1" ht="13.8" x14ac:dyDescent="0.25">
      <c r="A1478" s="2020"/>
      <c r="B1478" s="2021"/>
      <c r="C1478" s="2021"/>
      <c r="D1478" s="2021"/>
      <c r="E1478" s="2021"/>
      <c r="F1478" s="2021"/>
      <c r="G1478" s="2021"/>
      <c r="K1478" s="2015"/>
      <c r="L1478" s="2015"/>
      <c r="M1478" s="2015"/>
      <c r="N1478" s="2015"/>
      <c r="O1478" s="2015"/>
    </row>
    <row r="1479" spans="1:15" s="2014" customFormat="1" ht="14.4" thickBot="1" x14ac:dyDescent="0.3">
      <c r="A1479" s="2020"/>
      <c r="B1479" s="2021"/>
      <c r="C1479" s="2021"/>
      <c r="D1479" s="2021"/>
      <c r="E1479" s="2021"/>
      <c r="F1479" s="2021"/>
      <c r="G1479" s="2021"/>
      <c r="K1479" s="2015"/>
      <c r="L1479" s="2015"/>
      <c r="M1479" s="2015"/>
      <c r="N1479" s="2015"/>
      <c r="O1479" s="2015"/>
    </row>
    <row r="1480" spans="1:15" ht="13.8" x14ac:dyDescent="0.25">
      <c r="A1480" s="2717" t="s">
        <v>2272</v>
      </c>
      <c r="B1480" s="2718"/>
      <c r="C1480" s="2718"/>
      <c r="D1480" s="2718"/>
      <c r="E1480" s="2718"/>
      <c r="F1480" s="2718"/>
      <c r="G1480" s="2719"/>
    </row>
    <row r="1481" spans="1:15" ht="14.4" thickBot="1" x14ac:dyDescent="0.3">
      <c r="A1481" s="2720" t="s">
        <v>2093</v>
      </c>
      <c r="B1481" s="2721"/>
      <c r="C1481" s="2721"/>
      <c r="D1481" s="2721"/>
      <c r="E1481" s="2721"/>
      <c r="F1481" s="2721"/>
      <c r="G1481" s="2722"/>
    </row>
    <row r="1482" spans="1:15" ht="14.4" thickBot="1" x14ac:dyDescent="0.3">
      <c r="A1482" s="1773"/>
      <c r="B1482" s="1774" t="s">
        <v>2094</v>
      </c>
      <c r="C1482" s="1774" t="s">
        <v>2095</v>
      </c>
      <c r="D1482" s="1774" t="s">
        <v>2</v>
      </c>
      <c r="E1482" s="1774" t="s">
        <v>2096</v>
      </c>
      <c r="F1482" s="1774" t="s">
        <v>5</v>
      </c>
      <c r="G1482" s="1774" t="s">
        <v>2097</v>
      </c>
    </row>
    <row r="1483" spans="1:15" ht="13.8" x14ac:dyDescent="0.25">
      <c r="A1483" s="1775"/>
      <c r="B1483" s="1775"/>
      <c r="C1483" s="1776"/>
      <c r="D1483" s="1777"/>
      <c r="E1483" s="1777"/>
      <c r="F1483" s="1777"/>
      <c r="G1483" s="1777"/>
    </row>
    <row r="1484" spans="1:15" ht="13.8" x14ac:dyDescent="0.25">
      <c r="A1484" s="1788"/>
      <c r="B1484" s="1788" t="s">
        <v>2082</v>
      </c>
      <c r="C1484" s="1789" t="s">
        <v>1974</v>
      </c>
      <c r="D1484" s="1789">
        <v>1</v>
      </c>
      <c r="E1484" s="1789">
        <v>641.04999999999995</v>
      </c>
      <c r="F1484" s="1789">
        <f t="shared" ref="F1484:F1486" si="143">D1484*E1484</f>
        <v>641.04999999999995</v>
      </c>
      <c r="G1484" s="1789"/>
    </row>
    <row r="1485" spans="1:15" ht="13.8" x14ac:dyDescent="0.25">
      <c r="A1485" s="1788"/>
      <c r="B1485" s="1817" t="s">
        <v>2265</v>
      </c>
      <c r="C1485" s="1789" t="s">
        <v>1974</v>
      </c>
      <c r="D1485" s="1789">
        <v>1.5</v>
      </c>
      <c r="E1485" s="1789">
        <v>2370.1999999999998</v>
      </c>
      <c r="F1485" s="1789">
        <f t="shared" si="143"/>
        <v>3555.2999999999997</v>
      </c>
      <c r="G1485" s="1789"/>
    </row>
    <row r="1486" spans="1:15" ht="13.8" x14ac:dyDescent="0.25">
      <c r="A1486" s="1788"/>
      <c r="B1486" s="1788" t="s">
        <v>2090</v>
      </c>
      <c r="C1486" s="1789" t="s">
        <v>981</v>
      </c>
      <c r="D1486" s="1789">
        <v>0.1</v>
      </c>
      <c r="E1486" s="1789">
        <v>1600</v>
      </c>
      <c r="F1486" s="1789">
        <f t="shared" si="143"/>
        <v>160</v>
      </c>
      <c r="G1486" s="1789"/>
    </row>
    <row r="1487" spans="1:15" ht="13.8" x14ac:dyDescent="0.25">
      <c r="A1487" s="1788"/>
      <c r="B1487" s="1817"/>
      <c r="C1487" s="1789"/>
      <c r="D1487" s="1789"/>
      <c r="E1487" s="1789"/>
      <c r="F1487" s="1789"/>
      <c r="G1487" s="1789"/>
    </row>
    <row r="1488" spans="1:15" ht="13.8" x14ac:dyDescent="0.25">
      <c r="A1488" s="1775"/>
      <c r="B1488" s="1790"/>
      <c r="C1488" s="1777"/>
      <c r="D1488" s="1777"/>
      <c r="E1488" s="1777"/>
      <c r="F1488" s="1777"/>
      <c r="G1488" s="1777"/>
    </row>
    <row r="1489" spans="1:15" ht="13.8" x14ac:dyDescent="0.25">
      <c r="A1489" s="1775"/>
      <c r="B1489" s="1776" t="s">
        <v>2266</v>
      </c>
      <c r="C1489" s="1777"/>
      <c r="D1489" s="1777"/>
      <c r="E1489" s="1777">
        <f>[20]Material!D767</f>
        <v>0</v>
      </c>
      <c r="F1489" s="1777">
        <f>(F1494+F1484+F1485+F1486+F1487)*5%</f>
        <v>217.8175</v>
      </c>
      <c r="G1489" s="1777"/>
    </row>
    <row r="1490" spans="1:15" ht="13.8" x14ac:dyDescent="0.25">
      <c r="A1490" s="1775"/>
      <c r="B1490" s="1775"/>
      <c r="C1490" s="1776"/>
      <c r="D1490" s="1777"/>
      <c r="E1490" s="1777"/>
      <c r="F1490" s="1777">
        <f t="shared" ref="F1490" si="144">D1490*E1490</f>
        <v>0</v>
      </c>
      <c r="G1490" s="1777"/>
    </row>
    <row r="1491" spans="1:15" ht="13.8" x14ac:dyDescent="0.25">
      <c r="A1491" s="1779"/>
      <c r="B1491" s="2723" t="s">
        <v>2112</v>
      </c>
      <c r="C1491" s="2723"/>
      <c r="D1491" s="2723"/>
      <c r="E1491" s="2723"/>
      <c r="F1491" s="1780"/>
      <c r="G1491" s="1781">
        <f>SUM(F1484:F1491)</f>
        <v>4574.1674999999996</v>
      </c>
    </row>
    <row r="1492" spans="1:15" ht="13.8" x14ac:dyDescent="0.25">
      <c r="A1492" s="1775"/>
      <c r="B1492" s="1778" t="s">
        <v>2098</v>
      </c>
      <c r="C1492" s="1776"/>
      <c r="D1492" s="1777"/>
      <c r="E1492" s="1777"/>
      <c r="F1492" s="1777">
        <f t="shared" ref="F1492:F1493" si="145">D1492*E1492</f>
        <v>0</v>
      </c>
      <c r="G1492" s="1777"/>
    </row>
    <row r="1493" spans="1:15" s="2014" customFormat="1" ht="13.8" x14ac:dyDescent="0.25">
      <c r="A1493" s="2012"/>
      <c r="B1493" s="2012" t="s">
        <v>2106</v>
      </c>
      <c r="C1493" s="2013" t="s">
        <v>2126</v>
      </c>
      <c r="D1493" s="2013">
        <v>100</v>
      </c>
      <c r="E1493" s="2013">
        <v>42</v>
      </c>
      <c r="F1493" s="2013">
        <f t="shared" si="145"/>
        <v>4200</v>
      </c>
      <c r="G1493" s="2013"/>
      <c r="K1493" s="2015"/>
      <c r="L1493" s="2015"/>
      <c r="M1493" s="2015"/>
      <c r="N1493" s="2015"/>
      <c r="O1493" s="2015"/>
    </row>
    <row r="1494" spans="1:15" s="2014" customFormat="1" ht="13.8" x14ac:dyDescent="0.25">
      <c r="A1494" s="2012"/>
      <c r="B1494" s="2012"/>
      <c r="C1494" s="2013"/>
      <c r="D1494" s="2013"/>
      <c r="E1494" s="2013"/>
      <c r="F1494" s="2013"/>
      <c r="G1494" s="2013"/>
      <c r="K1494" s="2015"/>
      <c r="L1494" s="2015"/>
      <c r="M1494" s="2015"/>
      <c r="N1494" s="2015"/>
      <c r="O1494" s="2015"/>
    </row>
    <row r="1495" spans="1:15" ht="13.8" x14ac:dyDescent="0.25">
      <c r="A1495" s="1775"/>
      <c r="B1495" s="1775" t="s">
        <v>2267</v>
      </c>
      <c r="C1495" s="1776"/>
      <c r="D1495" s="1777"/>
      <c r="E1495" s="1777"/>
      <c r="F1495" s="1777">
        <f>F1493*5%</f>
        <v>210</v>
      </c>
      <c r="G1495" s="1777"/>
    </row>
    <row r="1496" spans="1:15" ht="13.8" x14ac:dyDescent="0.25">
      <c r="A1496" s="1779"/>
      <c r="B1496" s="2723" t="s">
        <v>2100</v>
      </c>
      <c r="C1496" s="2723"/>
      <c r="D1496" s="2723"/>
      <c r="E1496" s="2723"/>
      <c r="F1496" s="1780">
        <f t="shared" ref="F1496" si="146">D1496*E1496</f>
        <v>0</v>
      </c>
      <c r="G1496" s="1781">
        <f>SUM(F1493:F1496)</f>
        <v>4410</v>
      </c>
    </row>
    <row r="1497" spans="1:15" ht="13.8" x14ac:dyDescent="0.25">
      <c r="A1497" s="1775"/>
      <c r="B1497" s="1782"/>
      <c r="C1497" s="1782"/>
      <c r="D1497" s="1782"/>
      <c r="E1497" s="1782"/>
      <c r="F1497" s="1777"/>
      <c r="G1497" s="1782"/>
    </row>
    <row r="1498" spans="1:15" ht="13.8" x14ac:dyDescent="0.25">
      <c r="A1498" s="1775"/>
      <c r="B1498" s="1782"/>
      <c r="C1498" s="1782"/>
      <c r="D1498" s="1782"/>
      <c r="E1498" s="1782"/>
      <c r="F1498" s="1777"/>
      <c r="G1498" s="1782"/>
    </row>
    <row r="1499" spans="1:15" ht="13.8" x14ac:dyDescent="0.25">
      <c r="A1499" s="2716" t="s">
        <v>2127</v>
      </c>
      <c r="B1499" s="2716"/>
      <c r="C1499" s="2716"/>
      <c r="D1499" s="2716"/>
      <c r="E1499" s="2716"/>
      <c r="F1499" s="2716"/>
      <c r="G1499" s="1783">
        <f>G1491+G1496</f>
        <v>8984.1674999999996</v>
      </c>
    </row>
    <row r="1500" spans="1:15" ht="13.8" x14ac:dyDescent="0.25">
      <c r="A1500" s="2716" t="s">
        <v>2128</v>
      </c>
      <c r="B1500" s="2716"/>
      <c r="C1500" s="2716"/>
      <c r="D1500" s="2716"/>
      <c r="E1500" s="2716"/>
      <c r="F1500" s="2716"/>
      <c r="G1500" s="1783">
        <f>G1499/9.29</f>
        <v>967.07938643702914</v>
      </c>
    </row>
    <row r="1501" spans="1:15" ht="13.8" x14ac:dyDescent="0.25">
      <c r="A1501" s="2716" t="s">
        <v>2129</v>
      </c>
      <c r="B1501" s="2716"/>
      <c r="C1501" s="2716"/>
      <c r="D1501" s="2716"/>
      <c r="E1501" s="2716"/>
      <c r="F1501" s="2716"/>
      <c r="G1501" s="1825">
        <f>G1500/10.76</f>
        <v>89.877266397493415</v>
      </c>
    </row>
    <row r="1503" spans="1:15" ht="14.4" thickBot="1" x14ac:dyDescent="0.3">
      <c r="H1503" s="2075"/>
    </row>
    <row r="1504" spans="1:15" ht="13.8" x14ac:dyDescent="0.25">
      <c r="A1504" s="2717" t="s">
        <v>2418</v>
      </c>
      <c r="B1504" s="2718"/>
      <c r="C1504" s="2718"/>
      <c r="D1504" s="2718"/>
      <c r="E1504" s="2718"/>
      <c r="F1504" s="2718"/>
      <c r="G1504" s="2719"/>
      <c r="H1504" s="2075"/>
    </row>
    <row r="1505" spans="1:29" ht="14.4" thickBot="1" x14ac:dyDescent="0.3">
      <c r="A1505" s="2720" t="s">
        <v>2093</v>
      </c>
      <c r="B1505" s="2721"/>
      <c r="C1505" s="2721"/>
      <c r="D1505" s="2721"/>
      <c r="E1505" s="2721"/>
      <c r="F1505" s="2721"/>
      <c r="G1505" s="2722"/>
      <c r="H1505" s="2075"/>
    </row>
    <row r="1506" spans="1:29" ht="14.4" thickBot="1" x14ac:dyDescent="0.3">
      <c r="A1506" s="1773"/>
      <c r="B1506" s="1774" t="s">
        <v>2094</v>
      </c>
      <c r="C1506" s="1774" t="s">
        <v>2095</v>
      </c>
      <c r="D1506" s="1774" t="s">
        <v>2</v>
      </c>
      <c r="E1506" s="1774" t="s">
        <v>2096</v>
      </c>
      <c r="F1506" s="1774" t="s">
        <v>5</v>
      </c>
      <c r="G1506" s="1774" t="s">
        <v>2097</v>
      </c>
      <c r="H1506" s="2075"/>
    </row>
    <row r="1507" spans="1:29" s="1809" customFormat="1" ht="13.8" x14ac:dyDescent="0.25">
      <c r="A1507" s="1775"/>
      <c r="B1507" s="1775"/>
      <c r="C1507" s="1776"/>
      <c r="D1507" s="1777"/>
      <c r="E1507" s="1777"/>
      <c r="F1507" s="1777"/>
      <c r="G1507" s="1777"/>
      <c r="H1507" s="2075"/>
      <c r="I1507" s="2014"/>
      <c r="J1507" s="2014"/>
      <c r="P1507" s="1772"/>
      <c r="Q1507" s="1772"/>
      <c r="R1507" s="1772"/>
      <c r="S1507" s="1772"/>
      <c r="T1507" s="1772"/>
      <c r="U1507" s="1772"/>
      <c r="V1507" s="1772"/>
      <c r="W1507" s="1772"/>
      <c r="X1507" s="1772"/>
      <c r="Y1507" s="1772"/>
      <c r="Z1507" s="1772"/>
      <c r="AA1507" s="1772"/>
      <c r="AB1507" s="1772"/>
      <c r="AC1507" s="1772"/>
    </row>
    <row r="1508" spans="1:29" s="1809" customFormat="1" ht="13.8" x14ac:dyDescent="0.25">
      <c r="A1508" s="1788"/>
      <c r="B1508" s="1788" t="s">
        <v>1987</v>
      </c>
      <c r="C1508" s="1789" t="s">
        <v>134</v>
      </c>
      <c r="D1508" s="1789">
        <v>27</v>
      </c>
      <c r="E1508" s="1789">
        <v>69</v>
      </c>
      <c r="F1508" s="1789">
        <f>D1508*E1508</f>
        <v>1863</v>
      </c>
      <c r="G1508" s="1789"/>
      <c r="H1508" s="2012" t="s">
        <v>2268</v>
      </c>
      <c r="I1508" s="2014"/>
      <c r="J1508" s="2014"/>
      <c r="K1508" s="1809">
        <f>58583/20</f>
        <v>2929.15</v>
      </c>
      <c r="P1508" s="1772"/>
      <c r="Q1508" s="1772"/>
      <c r="R1508" s="1772"/>
      <c r="S1508" s="1772"/>
      <c r="T1508" s="1772"/>
      <c r="U1508" s="1772"/>
      <c r="V1508" s="1772"/>
      <c r="W1508" s="1772"/>
      <c r="X1508" s="1772"/>
      <c r="Y1508" s="1772"/>
      <c r="Z1508" s="1772"/>
      <c r="AA1508" s="1772"/>
      <c r="AB1508" s="1772"/>
      <c r="AC1508" s="1772"/>
    </row>
    <row r="1509" spans="1:29" s="1809" customFormat="1" ht="13.8" x14ac:dyDescent="0.25">
      <c r="A1509" s="1788"/>
      <c r="B1509" s="1788"/>
      <c r="C1509" s="1789"/>
      <c r="D1509" s="1789"/>
      <c r="E1509" s="1789"/>
      <c r="F1509" s="1789"/>
      <c r="G1509" s="1789"/>
      <c r="H1509" s="2075" t="s">
        <v>2269</v>
      </c>
      <c r="I1509" s="2014"/>
      <c r="J1509" s="2014"/>
      <c r="K1509" s="1809">
        <f>58583/20</f>
        <v>2929.15</v>
      </c>
      <c r="P1509" s="1772"/>
      <c r="Q1509" s="1772"/>
      <c r="R1509" s="1772"/>
      <c r="S1509" s="1772"/>
      <c r="T1509" s="1772"/>
      <c r="U1509" s="1772"/>
      <c r="V1509" s="1772"/>
      <c r="W1509" s="1772"/>
      <c r="X1509" s="1772"/>
      <c r="Y1509" s="1772"/>
      <c r="Z1509" s="1772"/>
      <c r="AA1509" s="1772"/>
      <c r="AB1509" s="1772"/>
      <c r="AC1509" s="1772"/>
    </row>
    <row r="1510" spans="1:29" s="1809" customFormat="1" ht="13.2" customHeight="1" x14ac:dyDescent="0.25">
      <c r="A1510" s="1788"/>
      <c r="B1510" s="1817"/>
      <c r="C1510" s="1789"/>
      <c r="D1510" s="1789"/>
      <c r="E1510" s="1789"/>
      <c r="F1510" s="1789"/>
      <c r="G1510" s="1789"/>
      <c r="H1510" s="2075"/>
      <c r="I1510" s="2014"/>
      <c r="J1510" s="2014"/>
      <c r="P1510" s="1772"/>
      <c r="Q1510" s="1772"/>
      <c r="R1510" s="1772"/>
      <c r="S1510" s="1772"/>
      <c r="T1510" s="1772"/>
      <c r="U1510" s="1772"/>
      <c r="V1510" s="1772"/>
      <c r="W1510" s="1772"/>
      <c r="X1510" s="1772"/>
      <c r="Y1510" s="1772"/>
      <c r="Z1510" s="1772"/>
      <c r="AA1510" s="1772"/>
      <c r="AB1510" s="1772"/>
      <c r="AC1510" s="1772"/>
    </row>
    <row r="1511" spans="1:29" s="1809" customFormat="1" ht="13.8" x14ac:dyDescent="0.25">
      <c r="A1511" s="1788"/>
      <c r="B1511" s="1788"/>
      <c r="C1511" s="1789"/>
      <c r="D1511" s="1789"/>
      <c r="E1511" s="1789"/>
      <c r="F1511" s="1789"/>
      <c r="G1511" s="1789"/>
      <c r="H1511" s="2075"/>
      <c r="I1511" s="2014"/>
      <c r="J1511" s="2014"/>
      <c r="P1511" s="1772"/>
      <c r="Q1511" s="1772"/>
      <c r="R1511" s="1772"/>
      <c r="S1511" s="1772"/>
      <c r="T1511" s="1772"/>
      <c r="U1511" s="1772"/>
      <c r="V1511" s="1772"/>
      <c r="W1511" s="1772"/>
      <c r="X1511" s="1772"/>
      <c r="Y1511" s="1772"/>
      <c r="Z1511" s="1772"/>
      <c r="AA1511" s="1772"/>
      <c r="AB1511" s="1772"/>
      <c r="AC1511" s="1772"/>
    </row>
    <row r="1512" spans="1:29" s="1809" customFormat="1" ht="13.8" x14ac:dyDescent="0.25">
      <c r="A1512" s="1788"/>
      <c r="B1512" s="1817" t="s">
        <v>1988</v>
      </c>
      <c r="C1512" s="1789" t="s">
        <v>981</v>
      </c>
      <c r="D1512" s="1789">
        <v>1</v>
      </c>
      <c r="E1512" s="1789">
        <v>260</v>
      </c>
      <c r="F1512" s="1789">
        <f t="shared" ref="F1512" si="147">D1512*E1512</f>
        <v>260</v>
      </c>
      <c r="G1512" s="1789"/>
      <c r="H1512" s="2075"/>
      <c r="I1512" s="2014"/>
      <c r="J1512" s="2014"/>
      <c r="P1512" s="1772"/>
      <c r="Q1512" s="1772"/>
      <c r="R1512" s="1772"/>
      <c r="S1512" s="1772"/>
      <c r="T1512" s="1772"/>
      <c r="U1512" s="1772"/>
      <c r="V1512" s="1772"/>
      <c r="W1512" s="1772"/>
      <c r="X1512" s="1772"/>
      <c r="Y1512" s="1772"/>
      <c r="Z1512" s="1772"/>
      <c r="AA1512" s="1772"/>
      <c r="AB1512" s="1772"/>
      <c r="AC1512" s="1772"/>
    </row>
    <row r="1513" spans="1:29" s="1809" customFormat="1" ht="13.8" x14ac:dyDescent="0.25">
      <c r="A1513" s="1775"/>
      <c r="B1513" s="1790"/>
      <c r="C1513" s="1777"/>
      <c r="D1513" s="1777"/>
      <c r="E1513" s="1777"/>
      <c r="F1513" s="1777"/>
      <c r="G1513" s="1777"/>
      <c r="H1513" s="2075"/>
      <c r="I1513" s="2014"/>
      <c r="J1513" s="2014"/>
      <c r="P1513" s="1772"/>
      <c r="Q1513" s="1772"/>
      <c r="R1513" s="1772"/>
      <c r="S1513" s="1772"/>
      <c r="T1513" s="1772"/>
      <c r="U1513" s="1772"/>
      <c r="V1513" s="1772"/>
      <c r="W1513" s="1772"/>
      <c r="X1513" s="1772"/>
      <c r="Y1513" s="1772"/>
      <c r="Z1513" s="1772"/>
      <c r="AA1513" s="1772"/>
      <c r="AB1513" s="1772"/>
      <c r="AC1513" s="1772"/>
    </row>
    <row r="1514" spans="1:29" s="1809" customFormat="1" ht="13.8" x14ac:dyDescent="0.25">
      <c r="A1514" s="1775"/>
      <c r="B1514" s="1776" t="s">
        <v>2266</v>
      </c>
      <c r="C1514" s="1777"/>
      <c r="D1514" s="1777"/>
      <c r="E1514" s="1777">
        <f>[20]Material!D792</f>
        <v>0</v>
      </c>
      <c r="F1514" s="1777">
        <f>(F1508+F1509+F1510+F1511+F1512)*10%</f>
        <v>212.3</v>
      </c>
      <c r="G1514" s="1777"/>
      <c r="H1514" s="2075"/>
      <c r="I1514" s="2014"/>
      <c r="J1514" s="2014"/>
      <c r="P1514" s="1772"/>
      <c r="Q1514" s="1772"/>
      <c r="R1514" s="1772"/>
      <c r="S1514" s="1772"/>
      <c r="T1514" s="1772"/>
      <c r="U1514" s="1772"/>
      <c r="V1514" s="1772"/>
      <c r="W1514" s="1772"/>
      <c r="X1514" s="1772"/>
      <c r="Y1514" s="1772"/>
      <c r="Z1514" s="1772"/>
      <c r="AA1514" s="1772"/>
      <c r="AB1514" s="1772"/>
      <c r="AC1514" s="1772"/>
    </row>
    <row r="1515" spans="1:29" s="1809" customFormat="1" ht="13.8" x14ac:dyDescent="0.25">
      <c r="A1515" s="1775"/>
      <c r="B1515" s="1775"/>
      <c r="C1515" s="1776"/>
      <c r="D1515" s="1777"/>
      <c r="E1515" s="1777"/>
      <c r="F1515" s="1777">
        <f t="shared" ref="F1515" si="148">D1515*E1515</f>
        <v>0</v>
      </c>
      <c r="G1515" s="1777"/>
      <c r="H1515" s="2075"/>
      <c r="I1515" s="2014"/>
      <c r="J1515" s="2014"/>
      <c r="P1515" s="1772"/>
      <c r="Q1515" s="1772"/>
      <c r="R1515" s="1772"/>
      <c r="S1515" s="1772"/>
      <c r="T1515" s="1772"/>
      <c r="U1515" s="1772"/>
      <c r="V1515" s="1772"/>
      <c r="W1515" s="1772"/>
      <c r="X1515" s="1772"/>
      <c r="Y1515" s="1772"/>
      <c r="Z1515" s="1772"/>
      <c r="AA1515" s="1772"/>
      <c r="AB1515" s="1772"/>
      <c r="AC1515" s="1772"/>
    </row>
    <row r="1516" spans="1:29" s="1809" customFormat="1" ht="13.8" x14ac:dyDescent="0.25">
      <c r="A1516" s="1779"/>
      <c r="B1516" s="2723" t="s">
        <v>2112</v>
      </c>
      <c r="C1516" s="2723"/>
      <c r="D1516" s="2723"/>
      <c r="E1516" s="2723"/>
      <c r="F1516" s="1780"/>
      <c r="G1516" s="1781">
        <f>SUM(F1508:F1516)</f>
        <v>2335.3000000000002</v>
      </c>
      <c r="H1516" s="2075"/>
      <c r="I1516" s="2014"/>
      <c r="J1516" s="2014"/>
      <c r="P1516" s="1772"/>
      <c r="Q1516" s="1772"/>
      <c r="R1516" s="1772"/>
      <c r="S1516" s="1772"/>
      <c r="T1516" s="1772"/>
      <c r="U1516" s="1772"/>
      <c r="V1516" s="1772"/>
      <c r="W1516" s="1772"/>
      <c r="X1516" s="1772"/>
      <c r="Y1516" s="1772"/>
      <c r="Z1516" s="1772"/>
      <c r="AA1516" s="1772"/>
      <c r="AB1516" s="1772"/>
      <c r="AC1516" s="1772"/>
    </row>
    <row r="1517" spans="1:29" s="1809" customFormat="1" ht="13.8" x14ac:dyDescent="0.25">
      <c r="A1517" s="1788"/>
      <c r="B1517" s="1823" t="s">
        <v>2098</v>
      </c>
      <c r="C1517" s="1714"/>
      <c r="D1517" s="1789"/>
      <c r="E1517" s="1789"/>
      <c r="F1517" s="1789">
        <f t="shared" ref="F1517:F1518" si="149">D1517*E1517</f>
        <v>0</v>
      </c>
      <c r="G1517" s="1789"/>
      <c r="H1517" s="2075"/>
      <c r="I1517" s="2014"/>
      <c r="J1517" s="2014"/>
      <c r="P1517" s="1772"/>
      <c r="Q1517" s="1772"/>
      <c r="R1517" s="1772"/>
      <c r="S1517" s="1772"/>
      <c r="T1517" s="1772"/>
      <c r="U1517" s="1772"/>
      <c r="V1517" s="1772"/>
      <c r="W1517" s="1772"/>
      <c r="X1517" s="1772"/>
      <c r="Y1517" s="1772"/>
      <c r="Z1517" s="1772"/>
      <c r="AA1517" s="1772"/>
      <c r="AB1517" s="1772"/>
      <c r="AC1517" s="1772"/>
    </row>
    <row r="1518" spans="1:29" s="1809" customFormat="1" ht="13.8" x14ac:dyDescent="0.25">
      <c r="A1518" s="1788"/>
      <c r="B1518" s="1788" t="s">
        <v>2106</v>
      </c>
      <c r="C1518" s="1789" t="s">
        <v>2126</v>
      </c>
      <c r="D1518" s="1789">
        <v>100</v>
      </c>
      <c r="E1518" s="1789">
        <f>50*60%</f>
        <v>30</v>
      </c>
      <c r="F1518" s="1789">
        <f t="shared" si="149"/>
        <v>3000</v>
      </c>
      <c r="G1518" s="1789"/>
      <c r="H1518" s="2075"/>
      <c r="I1518" s="2014"/>
      <c r="J1518" s="2014"/>
      <c r="P1518" s="1772"/>
      <c r="Q1518" s="1772"/>
      <c r="R1518" s="1772"/>
      <c r="S1518" s="1772"/>
      <c r="T1518" s="1772"/>
      <c r="U1518" s="1772"/>
      <c r="V1518" s="1772"/>
      <c r="W1518" s="1772"/>
      <c r="X1518" s="1772"/>
      <c r="Y1518" s="1772"/>
      <c r="Z1518" s="1772"/>
      <c r="AA1518" s="1772"/>
      <c r="AB1518" s="1772"/>
      <c r="AC1518" s="1772"/>
    </row>
    <row r="1519" spans="1:29" s="1809" customFormat="1" ht="13.8" x14ac:dyDescent="0.25">
      <c r="A1519" s="1775"/>
      <c r="B1519" s="1775"/>
      <c r="C1519" s="1777"/>
      <c r="D1519" s="1777"/>
      <c r="E1519" s="1777"/>
      <c r="F1519" s="1777"/>
      <c r="G1519" s="1777"/>
      <c r="H1519" s="2075"/>
      <c r="I1519" s="2014"/>
      <c r="J1519" s="2014"/>
      <c r="P1519" s="1772"/>
      <c r="Q1519" s="1772"/>
      <c r="R1519" s="1772"/>
      <c r="S1519" s="1772"/>
      <c r="T1519" s="1772"/>
      <c r="U1519" s="1772"/>
      <c r="V1519" s="1772"/>
      <c r="W1519" s="1772"/>
      <c r="X1519" s="1772"/>
      <c r="Y1519" s="1772"/>
      <c r="Z1519" s="1772"/>
      <c r="AA1519" s="1772"/>
      <c r="AB1519" s="1772"/>
      <c r="AC1519" s="1772"/>
    </row>
    <row r="1520" spans="1:29" s="1809" customFormat="1" ht="13.8" x14ac:dyDescent="0.25">
      <c r="A1520" s="1775"/>
      <c r="B1520" s="1775" t="s">
        <v>2267</v>
      </c>
      <c r="C1520" s="1776"/>
      <c r="D1520" s="1777"/>
      <c r="E1520" s="1777"/>
      <c r="F1520" s="1777">
        <f>F1518*5%</f>
        <v>150</v>
      </c>
      <c r="G1520" s="1777"/>
      <c r="H1520" s="2075"/>
      <c r="I1520" s="2014"/>
      <c r="J1520" s="2014"/>
      <c r="P1520" s="1772"/>
      <c r="Q1520" s="1772"/>
      <c r="R1520" s="1772"/>
      <c r="S1520" s="1772"/>
      <c r="T1520" s="1772"/>
      <c r="U1520" s="1772"/>
      <c r="V1520" s="1772"/>
      <c r="W1520" s="1772"/>
      <c r="X1520" s="1772"/>
      <c r="Y1520" s="1772"/>
      <c r="Z1520" s="1772"/>
      <c r="AA1520" s="1772"/>
      <c r="AB1520" s="1772"/>
      <c r="AC1520" s="1772"/>
    </row>
    <row r="1521" spans="1:29" s="1809" customFormat="1" ht="13.8" x14ac:dyDescent="0.25">
      <c r="A1521" s="1779"/>
      <c r="B1521" s="2723" t="s">
        <v>2100</v>
      </c>
      <c r="C1521" s="2723"/>
      <c r="D1521" s="2723"/>
      <c r="E1521" s="2723"/>
      <c r="F1521" s="1780">
        <f t="shared" ref="F1521" si="150">D1521*E1521</f>
        <v>0</v>
      </c>
      <c r="G1521" s="1781">
        <f>SUM(F1518:F1521)</f>
        <v>3150</v>
      </c>
      <c r="H1521" s="2075"/>
      <c r="I1521" s="2014"/>
      <c r="J1521" s="2014"/>
      <c r="P1521" s="1772"/>
      <c r="Q1521" s="1772"/>
      <c r="R1521" s="1772"/>
      <c r="S1521" s="1772"/>
      <c r="T1521" s="1772"/>
      <c r="U1521" s="1772"/>
      <c r="V1521" s="1772"/>
      <c r="W1521" s="1772"/>
      <c r="X1521" s="1772"/>
      <c r="Y1521" s="1772"/>
      <c r="Z1521" s="1772"/>
      <c r="AA1521" s="1772"/>
      <c r="AB1521" s="1772"/>
      <c r="AC1521" s="1772"/>
    </row>
    <row r="1522" spans="1:29" s="1809" customFormat="1" ht="13.8" x14ac:dyDescent="0.25">
      <c r="A1522" s="1775"/>
      <c r="B1522" s="1782"/>
      <c r="C1522" s="1782"/>
      <c r="D1522" s="1782"/>
      <c r="E1522" s="1782"/>
      <c r="F1522" s="1777"/>
      <c r="G1522" s="1782"/>
      <c r="H1522" s="2075"/>
      <c r="I1522" s="2014"/>
      <c r="J1522" s="2014"/>
      <c r="P1522" s="1772"/>
      <c r="Q1522" s="1772"/>
      <c r="R1522" s="1772"/>
      <c r="S1522" s="1772"/>
      <c r="T1522" s="1772"/>
      <c r="U1522" s="1772"/>
      <c r="V1522" s="1772"/>
      <c r="W1522" s="1772"/>
      <c r="X1522" s="1772"/>
      <c r="Y1522" s="1772"/>
      <c r="Z1522" s="1772"/>
      <c r="AA1522" s="1772"/>
      <c r="AB1522" s="1772"/>
      <c r="AC1522" s="1772"/>
    </row>
    <row r="1523" spans="1:29" ht="13.8" x14ac:dyDescent="0.25">
      <c r="A1523" s="1775"/>
      <c r="B1523" s="1782"/>
      <c r="C1523" s="1782"/>
      <c r="D1523" s="1782"/>
      <c r="E1523" s="1782"/>
      <c r="F1523" s="1777"/>
      <c r="G1523" s="1782"/>
      <c r="H1523" s="2075"/>
    </row>
    <row r="1524" spans="1:29" ht="13.8" x14ac:dyDescent="0.25">
      <c r="A1524" s="2716" t="s">
        <v>2127</v>
      </c>
      <c r="B1524" s="2716"/>
      <c r="C1524" s="2716"/>
      <c r="D1524" s="2716"/>
      <c r="E1524" s="2716"/>
      <c r="F1524" s="2716"/>
      <c r="G1524" s="1783">
        <f>G1516+G1521</f>
        <v>5485.3</v>
      </c>
      <c r="H1524" s="2075"/>
    </row>
    <row r="1525" spans="1:29" ht="13.8" x14ac:dyDescent="0.25">
      <c r="A1525" s="2716" t="s">
        <v>2128</v>
      </c>
      <c r="B1525" s="2716"/>
      <c r="C1525" s="2716"/>
      <c r="D1525" s="2716"/>
      <c r="E1525" s="2716"/>
      <c r="F1525" s="2716"/>
      <c r="G1525" s="1783">
        <f>G1524/9.29</f>
        <v>590.45209903121645</v>
      </c>
    </row>
    <row r="1526" spans="1:29" ht="13.8" x14ac:dyDescent="0.25">
      <c r="A1526" s="2716" t="s">
        <v>2129</v>
      </c>
      <c r="B1526" s="2716"/>
      <c r="C1526" s="2716"/>
      <c r="D1526" s="2716"/>
      <c r="E1526" s="2716"/>
      <c r="F1526" s="2716"/>
      <c r="G1526" s="1825">
        <f>G1525/10.76</f>
        <v>54.87473039323573</v>
      </c>
    </row>
    <row r="1527" spans="1:29" ht="13.8" thickBot="1" x14ac:dyDescent="0.3"/>
    <row r="1528" spans="1:29" ht="13.8" x14ac:dyDescent="0.25">
      <c r="A1528" s="2717" t="s">
        <v>2419</v>
      </c>
      <c r="B1528" s="2718"/>
      <c r="C1528" s="2718"/>
      <c r="D1528" s="2718"/>
      <c r="E1528" s="2718"/>
      <c r="F1528" s="2718"/>
      <c r="G1528" s="2719"/>
    </row>
    <row r="1529" spans="1:29" ht="14.4" thickBot="1" x14ac:dyDescent="0.3">
      <c r="A1529" s="2720" t="s">
        <v>2093</v>
      </c>
      <c r="B1529" s="2721"/>
      <c r="C1529" s="2721"/>
      <c r="D1529" s="2721"/>
      <c r="E1529" s="2721"/>
      <c r="F1529" s="2721"/>
      <c r="G1529" s="2722"/>
    </row>
    <row r="1530" spans="1:29" ht="14.4" thickBot="1" x14ac:dyDescent="0.3">
      <c r="A1530" s="1773"/>
      <c r="B1530" s="1774" t="s">
        <v>2094</v>
      </c>
      <c r="C1530" s="1774" t="s">
        <v>2095</v>
      </c>
      <c r="D1530" s="1774" t="s">
        <v>2</v>
      </c>
      <c r="E1530" s="1774" t="s">
        <v>2096</v>
      </c>
      <c r="F1530" s="1774" t="s">
        <v>5</v>
      </c>
      <c r="G1530" s="1774" t="s">
        <v>2097</v>
      </c>
    </row>
    <row r="1531" spans="1:29" ht="13.8" x14ac:dyDescent="0.25">
      <c r="A1531" s="1775"/>
      <c r="B1531" s="1775"/>
      <c r="C1531" s="1776"/>
      <c r="D1531" s="1777"/>
      <c r="E1531" s="1777"/>
      <c r="F1531" s="1777"/>
      <c r="G1531" s="1777"/>
    </row>
    <row r="1532" spans="1:29" ht="13.8" x14ac:dyDescent="0.25">
      <c r="A1532" s="1788"/>
      <c r="B1532" s="1788"/>
      <c r="C1532" s="1789"/>
      <c r="D1532" s="1789"/>
      <c r="E1532" s="1789"/>
      <c r="F1532" s="1789"/>
      <c r="G1532" s="1789"/>
    </row>
    <row r="1533" spans="1:29" ht="13.8" x14ac:dyDescent="0.25">
      <c r="A1533" s="1788"/>
      <c r="B1533" s="1788" t="s">
        <v>2082</v>
      </c>
      <c r="C1533" s="1789" t="s">
        <v>1974</v>
      </c>
      <c r="D1533" s="1789">
        <v>1</v>
      </c>
      <c r="E1533" s="1789">
        <v>641.04999999999995</v>
      </c>
      <c r="F1533" s="1789">
        <f t="shared" ref="F1533:F1535" si="151">D1533*E1533</f>
        <v>641.04999999999995</v>
      </c>
      <c r="G1533" s="1789"/>
    </row>
    <row r="1534" spans="1:29" ht="13.8" x14ac:dyDescent="0.25">
      <c r="A1534" s="1788"/>
      <c r="B1534" s="1817" t="s">
        <v>2265</v>
      </c>
      <c r="C1534" s="1789" t="s">
        <v>1974</v>
      </c>
      <c r="D1534" s="1789">
        <v>1.5</v>
      </c>
      <c r="E1534" s="1789">
        <v>2370.1999999999998</v>
      </c>
      <c r="F1534" s="1789">
        <f t="shared" si="151"/>
        <v>3555.2999999999997</v>
      </c>
      <c r="G1534" s="1789"/>
    </row>
    <row r="1535" spans="1:29" ht="13.8" x14ac:dyDescent="0.25">
      <c r="A1535" s="1788"/>
      <c r="B1535" s="1788" t="s">
        <v>2090</v>
      </c>
      <c r="C1535" s="1789" t="s">
        <v>981</v>
      </c>
      <c r="D1535" s="1789">
        <v>0.1</v>
      </c>
      <c r="E1535" s="1789">
        <v>1600</v>
      </c>
      <c r="F1535" s="1789">
        <f t="shared" si="151"/>
        <v>160</v>
      </c>
      <c r="G1535" s="1789"/>
    </row>
    <row r="1536" spans="1:29" ht="13.8" x14ac:dyDescent="0.25">
      <c r="A1536" s="1788"/>
      <c r="B1536" s="1817"/>
      <c r="C1536" s="1789"/>
      <c r="D1536" s="1789"/>
      <c r="E1536" s="1789"/>
      <c r="F1536" s="1789"/>
      <c r="G1536" s="1789"/>
    </row>
    <row r="1537" spans="1:7" ht="13.8" x14ac:dyDescent="0.25">
      <c r="A1537" s="1775"/>
      <c r="B1537" s="1790"/>
      <c r="C1537" s="1777"/>
      <c r="D1537" s="1777"/>
      <c r="E1537" s="1777"/>
      <c r="F1537" s="1777"/>
      <c r="G1537" s="1777"/>
    </row>
    <row r="1538" spans="1:7" ht="13.8" x14ac:dyDescent="0.25">
      <c r="A1538" s="1775"/>
      <c r="B1538" s="1776" t="s">
        <v>2266</v>
      </c>
      <c r="C1538" s="1777"/>
      <c r="D1538" s="1777"/>
      <c r="E1538" s="1777">
        <f>[20]Material!D812</f>
        <v>0</v>
      </c>
      <c r="F1538" s="1777">
        <f>(F1532+F1533+F1534+F1535+F1536)*10%</f>
        <v>435.63499999999999</v>
      </c>
      <c r="G1538" s="1777"/>
    </row>
    <row r="1539" spans="1:7" ht="13.8" x14ac:dyDescent="0.25">
      <c r="A1539" s="1775"/>
      <c r="B1539" s="1775"/>
      <c r="C1539" s="1776"/>
      <c r="D1539" s="1777"/>
      <c r="E1539" s="1777"/>
      <c r="F1539" s="1777">
        <f t="shared" ref="F1539" si="152">D1539*E1539</f>
        <v>0</v>
      </c>
      <c r="G1539" s="1777"/>
    </row>
    <row r="1540" spans="1:7" ht="13.8" x14ac:dyDescent="0.25">
      <c r="A1540" s="1779"/>
      <c r="B1540" s="2723" t="s">
        <v>2112</v>
      </c>
      <c r="C1540" s="2723"/>
      <c r="D1540" s="2723"/>
      <c r="E1540" s="2723"/>
      <c r="F1540" s="1780"/>
      <c r="G1540" s="1921">
        <f>SUM(F1532:F1540)</f>
        <v>4791.9849999999997</v>
      </c>
    </row>
    <row r="1541" spans="1:7" ht="13.8" x14ac:dyDescent="0.25">
      <c r="A1541" s="1788"/>
      <c r="B1541" s="1823" t="s">
        <v>2098</v>
      </c>
      <c r="C1541" s="1714"/>
      <c r="D1541" s="1789"/>
      <c r="E1541" s="1789"/>
      <c r="F1541" s="1789">
        <f t="shared" ref="F1541:F1542" si="153">D1541*E1541</f>
        <v>0</v>
      </c>
      <c r="G1541" s="1789"/>
    </row>
    <row r="1542" spans="1:7" ht="13.8" x14ac:dyDescent="0.25">
      <c r="A1542" s="1788"/>
      <c r="B1542" s="1788" t="s">
        <v>2106</v>
      </c>
      <c r="C1542" s="1789" t="s">
        <v>2126</v>
      </c>
      <c r="D1542" s="1789">
        <v>100</v>
      </c>
      <c r="E1542" s="1789">
        <f>50*40%</f>
        <v>20</v>
      </c>
      <c r="F1542" s="1789">
        <f t="shared" si="153"/>
        <v>2000</v>
      </c>
      <c r="G1542" s="1789"/>
    </row>
    <row r="1543" spans="1:7" ht="13.8" x14ac:dyDescent="0.25">
      <c r="A1543" s="1775"/>
      <c r="B1543" s="1775"/>
      <c r="C1543" s="1777"/>
      <c r="D1543" s="1777"/>
      <c r="E1543" s="1777"/>
      <c r="F1543" s="1777"/>
      <c r="G1543" s="1777"/>
    </row>
    <row r="1544" spans="1:7" ht="13.8" x14ac:dyDescent="0.25">
      <c r="A1544" s="1775"/>
      <c r="B1544" s="1775" t="s">
        <v>2267</v>
      </c>
      <c r="C1544" s="1776"/>
      <c r="D1544" s="1777"/>
      <c r="E1544" s="1777"/>
      <c r="F1544" s="1777">
        <f>F1542*5%</f>
        <v>100</v>
      </c>
      <c r="G1544" s="1777"/>
    </row>
    <row r="1545" spans="1:7" ht="13.8" x14ac:dyDescent="0.25">
      <c r="A1545" s="1779"/>
      <c r="B1545" s="2723" t="s">
        <v>2100</v>
      </c>
      <c r="C1545" s="2723"/>
      <c r="D1545" s="2723"/>
      <c r="E1545" s="2723"/>
      <c r="F1545" s="1780">
        <f t="shared" ref="F1545" si="154">D1545*E1545</f>
        <v>0</v>
      </c>
      <c r="G1545" s="1921">
        <f>SUM(F1542:F1545)</f>
        <v>2100</v>
      </c>
    </row>
    <row r="1546" spans="1:7" ht="13.8" x14ac:dyDescent="0.25">
      <c r="A1546" s="1775"/>
      <c r="B1546" s="1782"/>
      <c r="C1546" s="1782"/>
      <c r="D1546" s="1782"/>
      <c r="E1546" s="1782"/>
      <c r="F1546" s="1777"/>
      <c r="G1546" s="1782"/>
    </row>
    <row r="1547" spans="1:7" ht="13.8" x14ac:dyDescent="0.25">
      <c r="A1547" s="1775"/>
      <c r="B1547" s="1782"/>
      <c r="C1547" s="1782"/>
      <c r="D1547" s="1782"/>
      <c r="E1547" s="1782"/>
      <c r="F1547" s="1777"/>
      <c r="G1547" s="1782"/>
    </row>
    <row r="1548" spans="1:7" ht="13.8" x14ac:dyDescent="0.25">
      <c r="A1548" s="2716" t="s">
        <v>2127</v>
      </c>
      <c r="B1548" s="2716"/>
      <c r="C1548" s="2716"/>
      <c r="D1548" s="2716"/>
      <c r="E1548" s="2716"/>
      <c r="F1548" s="2716"/>
      <c r="G1548" s="1920">
        <f>G1540+G1545</f>
        <v>6891.9849999999997</v>
      </c>
    </row>
    <row r="1549" spans="1:7" ht="13.8" x14ac:dyDescent="0.25">
      <c r="A1549" s="2716" t="s">
        <v>2128</v>
      </c>
      <c r="B1549" s="2716"/>
      <c r="C1549" s="2716"/>
      <c r="D1549" s="2716"/>
      <c r="E1549" s="2716"/>
      <c r="F1549" s="2716"/>
      <c r="G1549" s="1920">
        <f>G1548/9.29</f>
        <v>741.8713670613563</v>
      </c>
    </row>
    <row r="1550" spans="1:7" ht="13.8" x14ac:dyDescent="0.25">
      <c r="A1550" s="2716" t="s">
        <v>2129</v>
      </c>
      <c r="B1550" s="2716"/>
      <c r="C1550" s="2716"/>
      <c r="D1550" s="2716"/>
      <c r="E1550" s="2716"/>
      <c r="F1550" s="2716"/>
      <c r="G1550" s="1825">
        <f>G1549/10.76</f>
        <v>68.947153072616757</v>
      </c>
    </row>
    <row r="1560" spans="1:7" ht="13.8" thickBot="1" x14ac:dyDescent="0.3"/>
    <row r="1561" spans="1:7" ht="13.8" x14ac:dyDescent="0.25">
      <c r="A1561" s="2717" t="s">
        <v>2270</v>
      </c>
      <c r="B1561" s="2718"/>
      <c r="C1561" s="2718"/>
      <c r="D1561" s="2718"/>
      <c r="E1561" s="2718"/>
      <c r="F1561" s="2718"/>
      <c r="G1561" s="2719"/>
    </row>
    <row r="1562" spans="1:7" ht="14.4" thickBot="1" x14ac:dyDescent="0.3">
      <c r="A1562" s="2720" t="s">
        <v>2093</v>
      </c>
      <c r="B1562" s="2721"/>
      <c r="C1562" s="2721"/>
      <c r="D1562" s="2721"/>
      <c r="E1562" s="2721"/>
      <c r="F1562" s="2721"/>
      <c r="G1562" s="2722"/>
    </row>
    <row r="1563" spans="1:7" ht="14.4" thickBot="1" x14ac:dyDescent="0.3">
      <c r="A1563" s="1773"/>
      <c r="B1563" s="1774" t="s">
        <v>2094</v>
      </c>
      <c r="C1563" s="1774" t="s">
        <v>2095</v>
      </c>
      <c r="D1563" s="1774" t="s">
        <v>2</v>
      </c>
      <c r="E1563" s="1774" t="s">
        <v>2096</v>
      </c>
      <c r="F1563" s="1774" t="s">
        <v>5</v>
      </c>
      <c r="G1563" s="1774" t="s">
        <v>2097</v>
      </c>
    </row>
    <row r="1564" spans="1:7" ht="13.8" x14ac:dyDescent="0.25">
      <c r="A1564" s="1775"/>
      <c r="B1564" s="1775"/>
      <c r="C1564" s="1776"/>
      <c r="D1564" s="1777"/>
      <c r="E1564" s="1777"/>
      <c r="F1564" s="1777"/>
      <c r="G1564" s="1777"/>
    </row>
    <row r="1565" spans="1:7" ht="13.8" x14ac:dyDescent="0.25">
      <c r="A1565" s="1788"/>
      <c r="B1565" s="1788" t="s">
        <v>2271</v>
      </c>
      <c r="C1565" s="1789" t="s">
        <v>1974</v>
      </c>
      <c r="D1565" s="1789">
        <v>2</v>
      </c>
      <c r="E1565" s="1789">
        <v>2929.15</v>
      </c>
      <c r="F1565" s="1789">
        <f t="shared" ref="F1565:F1566" si="155">D1565*E1565</f>
        <v>5858.3</v>
      </c>
      <c r="G1565" s="1789"/>
    </row>
    <row r="1566" spans="1:7" ht="13.8" x14ac:dyDescent="0.25">
      <c r="A1566" s="1788"/>
      <c r="B1566" s="1788" t="s">
        <v>2336</v>
      </c>
      <c r="C1566" s="1789" t="s">
        <v>1974</v>
      </c>
      <c r="D1566" s="1789">
        <v>2</v>
      </c>
      <c r="E1566" s="1789">
        <f>2929+300</f>
        <v>3229</v>
      </c>
      <c r="F1566" s="1789">
        <f t="shared" si="155"/>
        <v>6458</v>
      </c>
      <c r="G1566" s="1789"/>
    </row>
    <row r="1567" spans="1:7" ht="13.8" x14ac:dyDescent="0.25">
      <c r="A1567" s="1788"/>
      <c r="B1567" s="1788" t="s">
        <v>2090</v>
      </c>
      <c r="C1567" s="1789" t="s">
        <v>981</v>
      </c>
      <c r="D1567" s="1789">
        <v>0.1</v>
      </c>
      <c r="E1567" s="1789">
        <v>1600</v>
      </c>
      <c r="F1567" s="1789">
        <f>D1567*E1567</f>
        <v>160</v>
      </c>
      <c r="G1567" s="1789"/>
    </row>
    <row r="1568" spans="1:7" ht="13.8" x14ac:dyDescent="0.25">
      <c r="A1568" s="1775"/>
      <c r="B1568" s="1775"/>
      <c r="C1568" s="1777"/>
      <c r="D1568" s="1777"/>
      <c r="E1568" s="1777"/>
      <c r="F1568" s="1777"/>
      <c r="G1568" s="1777"/>
    </row>
    <row r="1569" spans="1:7" ht="13.8" x14ac:dyDescent="0.25">
      <c r="A1569" s="1775"/>
      <c r="B1569" s="1776" t="s">
        <v>2266</v>
      </c>
      <c r="C1569" s="1777"/>
      <c r="D1569" s="1777"/>
      <c r="E1569" s="1777"/>
      <c r="F1569" s="1777">
        <f>(F1566+F1567+F1568)*10%</f>
        <v>661.80000000000007</v>
      </c>
      <c r="G1569" s="1777"/>
    </row>
    <row r="1570" spans="1:7" ht="13.8" x14ac:dyDescent="0.25">
      <c r="A1570" s="1775"/>
      <c r="B1570" s="1776"/>
      <c r="C1570" s="1777"/>
      <c r="D1570" s="1777"/>
      <c r="E1570" s="1777"/>
      <c r="F1570" s="1777"/>
      <c r="G1570" s="1777"/>
    </row>
    <row r="1571" spans="1:7" ht="13.8" x14ac:dyDescent="0.25">
      <c r="A1571" s="1775"/>
      <c r="B1571" s="1775"/>
      <c r="C1571" s="1776"/>
      <c r="D1571" s="1777"/>
      <c r="E1571" s="1777"/>
      <c r="F1571" s="1777"/>
      <c r="G1571" s="1777"/>
    </row>
    <row r="1572" spans="1:7" ht="13.8" x14ac:dyDescent="0.25">
      <c r="A1572" s="1779"/>
      <c r="B1572" s="2723" t="s">
        <v>2112</v>
      </c>
      <c r="C1572" s="2723"/>
      <c r="D1572" s="2723"/>
      <c r="E1572" s="2723"/>
      <c r="F1572" s="1780"/>
      <c r="G1572" s="1781">
        <f>SUM(F1564:F1572)</f>
        <v>13138.099999999999</v>
      </c>
    </row>
    <row r="1573" spans="1:7" ht="13.8" x14ac:dyDescent="0.25">
      <c r="A1573" s="1775"/>
      <c r="B1573" s="1778" t="s">
        <v>2098</v>
      </c>
      <c r="C1573" s="1776"/>
      <c r="D1573" s="1777"/>
      <c r="E1573" s="1777"/>
      <c r="F1573" s="1777">
        <f t="shared" ref="F1573:F1574" si="156">D1573*E1573</f>
        <v>0</v>
      </c>
      <c r="G1573" s="1777"/>
    </row>
    <row r="1574" spans="1:7" ht="13.8" x14ac:dyDescent="0.25">
      <c r="A1574" s="1786"/>
      <c r="B1574" s="1786" t="s">
        <v>2106</v>
      </c>
      <c r="C1574" s="1761" t="s">
        <v>2126</v>
      </c>
      <c r="D1574" s="1761">
        <v>100</v>
      </c>
      <c r="E1574" s="1761">
        <v>27</v>
      </c>
      <c r="F1574" s="1761">
        <f t="shared" si="156"/>
        <v>2700</v>
      </c>
      <c r="G1574" s="1761"/>
    </row>
    <row r="1575" spans="1:7" ht="13.8" x14ac:dyDescent="0.25">
      <c r="A1575" s="1775"/>
      <c r="B1575" s="1775"/>
      <c r="C1575" s="1777"/>
      <c r="D1575" s="1777"/>
      <c r="E1575" s="1777"/>
      <c r="F1575" s="1777"/>
      <c r="G1575" s="1777"/>
    </row>
    <row r="1576" spans="1:7" ht="13.8" x14ac:dyDescent="0.25">
      <c r="A1576" s="1775"/>
      <c r="B1576" s="1775" t="s">
        <v>2267</v>
      </c>
      <c r="C1576" s="1776"/>
      <c r="D1576" s="1777"/>
      <c r="E1576" s="1777"/>
      <c r="F1576" s="1777">
        <f>F1574*5%</f>
        <v>135</v>
      </c>
      <c r="G1576" s="1777"/>
    </row>
    <row r="1577" spans="1:7" ht="13.8" x14ac:dyDescent="0.25">
      <c r="A1577" s="1779"/>
      <c r="B1577" s="2723" t="s">
        <v>2100</v>
      </c>
      <c r="C1577" s="2723"/>
      <c r="D1577" s="2723"/>
      <c r="E1577" s="2723"/>
      <c r="F1577" s="1780">
        <f t="shared" ref="F1577" si="157">D1577*E1577</f>
        <v>0</v>
      </c>
      <c r="G1577" s="1781">
        <f>SUM(F1574:F1577)</f>
        <v>2835</v>
      </c>
    </row>
    <row r="1578" spans="1:7" ht="13.8" x14ac:dyDescent="0.25">
      <c r="A1578" s="1775"/>
      <c r="B1578" s="1782"/>
      <c r="C1578" s="1782"/>
      <c r="D1578" s="1782"/>
      <c r="E1578" s="1782"/>
      <c r="F1578" s="1777"/>
      <c r="G1578" s="1782"/>
    </row>
    <row r="1579" spans="1:7" ht="13.8" x14ac:dyDescent="0.25">
      <c r="A1579" s="1775"/>
      <c r="B1579" s="1782"/>
      <c r="C1579" s="1782"/>
      <c r="D1579" s="1782"/>
      <c r="E1579" s="1782"/>
      <c r="F1579" s="1777"/>
      <c r="G1579" s="1782"/>
    </row>
    <row r="1580" spans="1:7" ht="13.8" x14ac:dyDescent="0.25">
      <c r="A1580" s="2716" t="s">
        <v>2127</v>
      </c>
      <c r="B1580" s="2716"/>
      <c r="C1580" s="2716"/>
      <c r="D1580" s="2716"/>
      <c r="E1580" s="2716"/>
      <c r="F1580" s="2716"/>
      <c r="G1580" s="1783">
        <f>G1572+G1577</f>
        <v>15973.099999999999</v>
      </c>
    </row>
    <row r="1581" spans="1:7" ht="13.8" x14ac:dyDescent="0.25">
      <c r="A1581" s="2716" t="s">
        <v>2128</v>
      </c>
      <c r="B1581" s="2716"/>
      <c r="C1581" s="2716"/>
      <c r="D1581" s="2716"/>
      <c r="E1581" s="2716"/>
      <c r="F1581" s="2716"/>
      <c r="G1581" s="1783">
        <f>G1580/9.29</f>
        <v>1719.3864370290635</v>
      </c>
    </row>
    <row r="1582" spans="1:7" ht="13.8" x14ac:dyDescent="0.25">
      <c r="A1582" s="2716" t="s">
        <v>2129</v>
      </c>
      <c r="B1582" s="2716"/>
      <c r="C1582" s="2716"/>
      <c r="D1582" s="2716"/>
      <c r="E1582" s="2716"/>
      <c r="F1582" s="2716"/>
      <c r="G1582" s="1825">
        <f>G1581/10.76</f>
        <v>159.79427853429959</v>
      </c>
    </row>
    <row r="1587" spans="1:29" s="1809" customFormat="1" ht="13.8" thickBot="1" x14ac:dyDescent="0.3">
      <c r="A1587" s="1772"/>
      <c r="B1587" s="1772"/>
      <c r="C1587" s="1772"/>
      <c r="D1587" s="1772"/>
      <c r="E1587" s="1772"/>
      <c r="F1587" s="1772"/>
      <c r="G1587" s="1772"/>
      <c r="H1587" s="2014"/>
      <c r="I1587" s="2014"/>
      <c r="J1587" s="2014"/>
      <c r="K1587" s="1833"/>
      <c r="P1587" s="1772"/>
      <c r="Q1587" s="1772"/>
      <c r="R1587" s="1772"/>
      <c r="S1587" s="1772"/>
      <c r="T1587" s="1772"/>
      <c r="U1587" s="1772"/>
      <c r="V1587" s="1772"/>
      <c r="W1587" s="1772"/>
      <c r="X1587" s="1772"/>
      <c r="Y1587" s="1772"/>
      <c r="Z1587" s="1772"/>
      <c r="AA1587" s="1772"/>
      <c r="AB1587" s="1772"/>
      <c r="AC1587" s="1772"/>
    </row>
    <row r="1588" spans="1:29" s="1809" customFormat="1" ht="13.8" x14ac:dyDescent="0.25">
      <c r="A1588" s="2717" t="s">
        <v>2272</v>
      </c>
      <c r="B1588" s="2718"/>
      <c r="C1588" s="2718"/>
      <c r="D1588" s="2718"/>
      <c r="E1588" s="2718"/>
      <c r="F1588" s="2718"/>
      <c r="G1588" s="2719"/>
      <c r="H1588" s="2014"/>
      <c r="I1588" s="2014"/>
      <c r="J1588" s="2014"/>
      <c r="P1588" s="1772"/>
      <c r="Q1588" s="1772"/>
      <c r="R1588" s="1772"/>
      <c r="S1588" s="1772"/>
      <c r="T1588" s="1772"/>
      <c r="U1588" s="1772"/>
      <c r="V1588" s="1772"/>
      <c r="W1588" s="1772"/>
      <c r="X1588" s="1772"/>
      <c r="Y1588" s="1772"/>
      <c r="Z1588" s="1772"/>
      <c r="AA1588" s="1772"/>
      <c r="AB1588" s="1772"/>
      <c r="AC1588" s="1772"/>
    </row>
    <row r="1589" spans="1:29" s="1809" customFormat="1" ht="14.4" thickBot="1" x14ac:dyDescent="0.3">
      <c r="A1589" s="2720" t="s">
        <v>2093</v>
      </c>
      <c r="B1589" s="2721"/>
      <c r="C1589" s="2721"/>
      <c r="D1589" s="2721"/>
      <c r="E1589" s="2721"/>
      <c r="F1589" s="2721"/>
      <c r="G1589" s="2722"/>
      <c r="H1589" s="2014"/>
      <c r="I1589" s="2014"/>
      <c r="J1589" s="2014"/>
      <c r="P1589" s="1772"/>
      <c r="Q1589" s="1772"/>
      <c r="R1589" s="1772"/>
      <c r="S1589" s="1772"/>
      <c r="T1589" s="1772"/>
      <c r="U1589" s="1772"/>
      <c r="V1589" s="1772"/>
      <c r="W1589" s="1772"/>
      <c r="X1589" s="1772"/>
      <c r="Y1589" s="1772"/>
      <c r="Z1589" s="1772"/>
      <c r="AA1589" s="1772"/>
      <c r="AB1589" s="1772"/>
      <c r="AC1589" s="1772"/>
    </row>
    <row r="1590" spans="1:29" s="1809" customFormat="1" ht="14.4" thickBot="1" x14ac:dyDescent="0.3">
      <c r="A1590" s="1773"/>
      <c r="B1590" s="1774" t="s">
        <v>2094</v>
      </c>
      <c r="C1590" s="1774" t="s">
        <v>2095</v>
      </c>
      <c r="D1590" s="1774" t="s">
        <v>2</v>
      </c>
      <c r="E1590" s="1774" t="s">
        <v>2096</v>
      </c>
      <c r="F1590" s="1774" t="s">
        <v>5</v>
      </c>
      <c r="G1590" s="1774" t="s">
        <v>2097</v>
      </c>
      <c r="H1590" s="2014"/>
      <c r="I1590" s="2014"/>
      <c r="J1590" s="2014"/>
      <c r="P1590" s="1772"/>
      <c r="Q1590" s="1772"/>
      <c r="R1590" s="1772"/>
      <c r="S1590" s="1772"/>
      <c r="T1590" s="1772"/>
      <c r="U1590" s="1772"/>
      <c r="V1590" s="1772"/>
      <c r="W1590" s="1772"/>
      <c r="X1590" s="1772"/>
      <c r="Y1590" s="1772"/>
      <c r="Z1590" s="1772"/>
      <c r="AA1590" s="1772"/>
      <c r="AB1590" s="1772"/>
      <c r="AC1590" s="1772"/>
    </row>
    <row r="1591" spans="1:29" s="1809" customFormat="1" ht="13.8" x14ac:dyDescent="0.25">
      <c r="A1591" s="1775"/>
      <c r="B1591" s="1775"/>
      <c r="C1591" s="1776"/>
      <c r="D1591" s="1777"/>
      <c r="E1591" s="1777"/>
      <c r="F1591" s="1777"/>
      <c r="G1591" s="1777"/>
      <c r="H1591" s="2014"/>
      <c r="I1591" s="2014"/>
      <c r="J1591" s="2014"/>
      <c r="P1591" s="1772"/>
      <c r="Q1591" s="1772"/>
      <c r="R1591" s="1772"/>
      <c r="S1591" s="1772"/>
      <c r="T1591" s="1772"/>
      <c r="U1591" s="1772"/>
      <c r="V1591" s="1772"/>
      <c r="W1591" s="1772"/>
      <c r="X1591" s="1772"/>
      <c r="Y1591" s="1772"/>
      <c r="Z1591" s="1772"/>
      <c r="AA1591" s="1772"/>
      <c r="AB1591" s="1772"/>
      <c r="AC1591" s="1772"/>
    </row>
    <row r="1592" spans="1:29" s="1809" customFormat="1" ht="13.8" x14ac:dyDescent="0.25">
      <c r="A1592" s="1788"/>
      <c r="B1592" s="1788"/>
      <c r="C1592" s="1789"/>
      <c r="D1592" s="1789"/>
      <c r="E1592" s="1789"/>
      <c r="F1592" s="1789"/>
      <c r="G1592" s="1789"/>
      <c r="H1592" s="2014"/>
      <c r="I1592" s="2014"/>
      <c r="J1592" s="2014"/>
      <c r="P1592" s="1772"/>
      <c r="Q1592" s="1772"/>
      <c r="R1592" s="1772"/>
      <c r="S1592" s="1772"/>
      <c r="T1592" s="1772"/>
      <c r="U1592" s="1772"/>
      <c r="V1592" s="1772"/>
      <c r="W1592" s="1772"/>
      <c r="X1592" s="1772"/>
      <c r="Y1592" s="1772"/>
      <c r="Z1592" s="1772"/>
      <c r="AA1592" s="1772"/>
      <c r="AB1592" s="1772"/>
      <c r="AC1592" s="1772"/>
    </row>
    <row r="1593" spans="1:29" s="1809" customFormat="1" ht="13.8" x14ac:dyDescent="0.25">
      <c r="A1593" s="1788"/>
      <c r="B1593" s="1788" t="s">
        <v>2082</v>
      </c>
      <c r="C1593" s="1789" t="s">
        <v>1974</v>
      </c>
      <c r="D1593" s="1789">
        <v>1</v>
      </c>
      <c r="E1593" s="1789">
        <v>641.04999999999995</v>
      </c>
      <c r="F1593" s="1789">
        <f t="shared" ref="F1593:F1596" si="158">D1593*E1593</f>
        <v>641.04999999999995</v>
      </c>
      <c r="G1593" s="1789"/>
      <c r="H1593" s="2014"/>
      <c r="I1593" s="2014"/>
      <c r="J1593" s="2014"/>
      <c r="P1593" s="1772"/>
      <c r="Q1593" s="1772"/>
      <c r="R1593" s="1772"/>
      <c r="S1593" s="1772"/>
      <c r="T1593" s="1772"/>
      <c r="U1593" s="1772"/>
      <c r="V1593" s="1772"/>
      <c r="W1593" s="1772"/>
      <c r="X1593" s="1772"/>
      <c r="Y1593" s="1772"/>
      <c r="Z1593" s="1772"/>
      <c r="AA1593" s="1772"/>
      <c r="AB1593" s="1772"/>
      <c r="AC1593" s="1772"/>
    </row>
    <row r="1594" spans="1:29" s="1809" customFormat="1" ht="13.8" x14ac:dyDescent="0.25">
      <c r="A1594" s="1788"/>
      <c r="B1594" s="1817" t="s">
        <v>2265</v>
      </c>
      <c r="C1594" s="1789" t="s">
        <v>1974</v>
      </c>
      <c r="D1594" s="1789">
        <v>1.5</v>
      </c>
      <c r="E1594" s="1789">
        <v>2370.1999999999998</v>
      </c>
      <c r="F1594" s="1789">
        <f t="shared" si="158"/>
        <v>3555.2999999999997</v>
      </c>
      <c r="G1594" s="1789"/>
      <c r="H1594" s="2014"/>
      <c r="I1594" s="2014"/>
      <c r="J1594" s="2014"/>
      <c r="P1594" s="1772"/>
      <c r="Q1594" s="1772"/>
      <c r="R1594" s="1772"/>
      <c r="S1594" s="1772"/>
      <c r="T1594" s="1772"/>
      <c r="U1594" s="1772"/>
      <c r="V1594" s="1772"/>
      <c r="W1594" s="1772"/>
      <c r="X1594" s="1772"/>
      <c r="Y1594" s="1772"/>
      <c r="Z1594" s="1772"/>
      <c r="AA1594" s="1772"/>
      <c r="AB1594" s="1772"/>
      <c r="AC1594" s="1772"/>
    </row>
    <row r="1595" spans="1:29" s="1809" customFormat="1" ht="13.8" x14ac:dyDescent="0.25">
      <c r="A1595" s="1788"/>
      <c r="B1595" s="1788" t="s">
        <v>2090</v>
      </c>
      <c r="C1595" s="1789" t="s">
        <v>981</v>
      </c>
      <c r="D1595" s="1789">
        <v>0.1</v>
      </c>
      <c r="E1595" s="1789">
        <v>1600</v>
      </c>
      <c r="F1595" s="1789">
        <f t="shared" si="158"/>
        <v>160</v>
      </c>
      <c r="G1595" s="1789"/>
      <c r="H1595" s="2014"/>
      <c r="I1595" s="2014"/>
      <c r="J1595" s="2014"/>
      <c r="P1595" s="1772"/>
      <c r="Q1595" s="1772"/>
      <c r="R1595" s="1772"/>
      <c r="S1595" s="1772"/>
      <c r="T1595" s="1772"/>
      <c r="U1595" s="1772"/>
      <c r="V1595" s="1772"/>
      <c r="W1595" s="1772"/>
      <c r="X1595" s="1772"/>
      <c r="Y1595" s="1772"/>
      <c r="Z1595" s="1772"/>
      <c r="AA1595" s="1772"/>
      <c r="AB1595" s="1772"/>
      <c r="AC1595" s="1772"/>
    </row>
    <row r="1596" spans="1:29" s="1809" customFormat="1" ht="13.8" x14ac:dyDescent="0.25">
      <c r="A1596" s="1788"/>
      <c r="B1596" s="1817" t="s">
        <v>1988</v>
      </c>
      <c r="C1596" s="1789" t="s">
        <v>981</v>
      </c>
      <c r="D1596" s="1789">
        <v>1</v>
      </c>
      <c r="E1596" s="1789">
        <v>260</v>
      </c>
      <c r="F1596" s="1789">
        <f t="shared" si="158"/>
        <v>260</v>
      </c>
      <c r="G1596" s="1789"/>
      <c r="H1596" s="2014"/>
      <c r="I1596" s="2014"/>
      <c r="J1596" s="2014"/>
      <c r="P1596" s="1772"/>
      <c r="Q1596" s="1772"/>
      <c r="R1596" s="1772"/>
      <c r="S1596" s="1772"/>
      <c r="T1596" s="1772"/>
      <c r="U1596" s="1772"/>
      <c r="V1596" s="1772"/>
      <c r="W1596" s="1772"/>
      <c r="X1596" s="1772"/>
      <c r="Y1596" s="1772"/>
      <c r="Z1596" s="1772"/>
      <c r="AA1596" s="1772"/>
      <c r="AB1596" s="1772"/>
      <c r="AC1596" s="1772"/>
    </row>
    <row r="1597" spans="1:29" s="1809" customFormat="1" ht="13.8" x14ac:dyDescent="0.25">
      <c r="A1597" s="1775"/>
      <c r="B1597" s="1790"/>
      <c r="C1597" s="1777"/>
      <c r="D1597" s="1777"/>
      <c r="E1597" s="1777"/>
      <c r="F1597" s="1777"/>
      <c r="G1597" s="1777"/>
      <c r="H1597" s="2014"/>
      <c r="I1597" s="2014"/>
      <c r="J1597" s="2014"/>
      <c r="P1597" s="1772"/>
      <c r="Q1597" s="1772"/>
      <c r="R1597" s="1772"/>
      <c r="S1597" s="1772"/>
      <c r="T1597" s="1772"/>
      <c r="U1597" s="1772"/>
      <c r="V1597" s="1772"/>
      <c r="W1597" s="1772"/>
      <c r="X1597" s="1772"/>
      <c r="Y1597" s="1772"/>
      <c r="Z1597" s="1772"/>
      <c r="AA1597" s="1772"/>
      <c r="AB1597" s="1772"/>
      <c r="AC1597" s="1772"/>
    </row>
    <row r="1598" spans="1:29" s="1809" customFormat="1" ht="13.8" x14ac:dyDescent="0.25">
      <c r="A1598" s="1775"/>
      <c r="B1598" s="1776" t="s">
        <v>2266</v>
      </c>
      <c r="C1598" s="1777"/>
      <c r="D1598" s="1777"/>
      <c r="E1598" s="1777">
        <f>[20]Material!D844</f>
        <v>0</v>
      </c>
      <c r="F1598" s="1777">
        <f>(F1592+F1593+F1594+F1595+F1596)*10%</f>
        <v>461.63499999999999</v>
      </c>
      <c r="G1598" s="1777"/>
      <c r="H1598" s="2014"/>
      <c r="I1598" s="2014"/>
      <c r="J1598" s="2014"/>
      <c r="P1598" s="1772"/>
      <c r="Q1598" s="1772"/>
      <c r="R1598" s="1772"/>
      <c r="S1598" s="1772"/>
      <c r="T1598" s="1772"/>
      <c r="U1598" s="1772"/>
      <c r="V1598" s="1772"/>
      <c r="W1598" s="1772"/>
      <c r="X1598" s="1772"/>
      <c r="Y1598" s="1772"/>
      <c r="Z1598" s="1772"/>
      <c r="AA1598" s="1772"/>
      <c r="AB1598" s="1772"/>
      <c r="AC1598" s="1772"/>
    </row>
    <row r="1599" spans="1:29" s="1809" customFormat="1" ht="13.8" x14ac:dyDescent="0.25">
      <c r="A1599" s="1775"/>
      <c r="B1599" s="1775"/>
      <c r="C1599" s="1776"/>
      <c r="D1599" s="1777"/>
      <c r="E1599" s="1777"/>
      <c r="F1599" s="1777">
        <f t="shared" ref="F1599" si="159">D1599*E1599</f>
        <v>0</v>
      </c>
      <c r="G1599" s="1777"/>
      <c r="H1599" s="2014"/>
      <c r="I1599" s="2014"/>
      <c r="J1599" s="2014"/>
      <c r="P1599" s="1772"/>
      <c r="Q1599" s="1772"/>
      <c r="R1599" s="1772"/>
      <c r="S1599" s="1772"/>
      <c r="T1599" s="1772"/>
      <c r="U1599" s="1772"/>
      <c r="V1599" s="1772"/>
      <c r="W1599" s="1772"/>
      <c r="X1599" s="1772"/>
      <c r="Y1599" s="1772"/>
      <c r="Z1599" s="1772"/>
      <c r="AA1599" s="1772"/>
      <c r="AB1599" s="1772"/>
      <c r="AC1599" s="1772"/>
    </row>
    <row r="1600" spans="1:29" s="1809" customFormat="1" ht="13.8" x14ac:dyDescent="0.25">
      <c r="A1600" s="1779"/>
      <c r="B1600" s="2723" t="s">
        <v>2112</v>
      </c>
      <c r="C1600" s="2723"/>
      <c r="D1600" s="2723"/>
      <c r="E1600" s="2723"/>
      <c r="F1600" s="1780"/>
      <c r="G1600" s="1781">
        <f>SUM(F1592:F1600)</f>
        <v>5077.9849999999997</v>
      </c>
      <c r="H1600" s="2014"/>
      <c r="I1600" s="2014"/>
      <c r="J1600" s="2014"/>
      <c r="P1600" s="1772"/>
      <c r="Q1600" s="1772"/>
      <c r="R1600" s="1772"/>
      <c r="S1600" s="1772"/>
      <c r="T1600" s="1772"/>
      <c r="U1600" s="1772"/>
      <c r="V1600" s="1772"/>
      <c r="W1600" s="1772"/>
      <c r="X1600" s="1772"/>
      <c r="Y1600" s="1772"/>
      <c r="Z1600" s="1772"/>
      <c r="AA1600" s="1772"/>
      <c r="AB1600" s="1772"/>
      <c r="AC1600" s="1772"/>
    </row>
    <row r="1601" spans="1:7" ht="13.8" x14ac:dyDescent="0.25">
      <c r="A1601" s="1775"/>
      <c r="B1601" s="1778" t="s">
        <v>2098</v>
      </c>
      <c r="C1601" s="1776"/>
      <c r="D1601" s="1777"/>
      <c r="E1601" s="1777"/>
      <c r="F1601" s="1777">
        <f t="shared" ref="F1601:F1602" si="160">D1601*E1601</f>
        <v>0</v>
      </c>
      <c r="G1601" s="1777"/>
    </row>
    <row r="1602" spans="1:7" ht="13.8" x14ac:dyDescent="0.25">
      <c r="A1602" s="1788"/>
      <c r="B1602" s="1788" t="s">
        <v>2106</v>
      </c>
      <c r="C1602" s="1789" t="s">
        <v>2126</v>
      </c>
      <c r="D1602" s="1789">
        <v>100</v>
      </c>
      <c r="E1602" s="1789">
        <v>25</v>
      </c>
      <c r="F1602" s="1789">
        <f t="shared" si="160"/>
        <v>2500</v>
      </c>
      <c r="G1602" s="1789"/>
    </row>
    <row r="1603" spans="1:7" ht="13.8" x14ac:dyDescent="0.25">
      <c r="A1603" s="1775"/>
      <c r="B1603" s="1775"/>
      <c r="C1603" s="1777"/>
      <c r="D1603" s="1777"/>
      <c r="E1603" s="1777"/>
      <c r="F1603" s="1777"/>
      <c r="G1603" s="1777"/>
    </row>
    <row r="1604" spans="1:7" ht="13.8" x14ac:dyDescent="0.25">
      <c r="A1604" s="1775"/>
      <c r="B1604" s="1775" t="s">
        <v>2267</v>
      </c>
      <c r="C1604" s="1776"/>
      <c r="D1604" s="1777"/>
      <c r="E1604" s="1777"/>
      <c r="F1604" s="1777">
        <f>F1602*5%</f>
        <v>125</v>
      </c>
      <c r="G1604" s="1777"/>
    </row>
    <row r="1605" spans="1:7" ht="13.8" x14ac:dyDescent="0.25">
      <c r="A1605" s="1779"/>
      <c r="B1605" s="2723" t="s">
        <v>2100</v>
      </c>
      <c r="C1605" s="2723"/>
      <c r="D1605" s="2723"/>
      <c r="E1605" s="2723"/>
      <c r="F1605" s="1780">
        <f t="shared" ref="F1605" si="161">D1605*E1605</f>
        <v>0</v>
      </c>
      <c r="G1605" s="1781">
        <f>SUM(F1602:F1605)</f>
        <v>2625</v>
      </c>
    </row>
    <row r="1606" spans="1:7" ht="13.8" x14ac:dyDescent="0.25">
      <c r="A1606" s="1775"/>
      <c r="B1606" s="1782"/>
      <c r="C1606" s="1782"/>
      <c r="D1606" s="1782"/>
      <c r="E1606" s="1782"/>
      <c r="F1606" s="1777"/>
      <c r="G1606" s="1782"/>
    </row>
    <row r="1607" spans="1:7" ht="13.8" x14ac:dyDescent="0.25">
      <c r="A1607" s="1775"/>
      <c r="B1607" s="1782"/>
      <c r="C1607" s="1782"/>
      <c r="D1607" s="1782"/>
      <c r="E1607" s="1782"/>
      <c r="F1607" s="1777"/>
      <c r="G1607" s="1782"/>
    </row>
    <row r="1608" spans="1:7" ht="13.8" x14ac:dyDescent="0.25">
      <c r="A1608" s="2716" t="s">
        <v>2127</v>
      </c>
      <c r="B1608" s="2716"/>
      <c r="C1608" s="2716"/>
      <c r="D1608" s="2716"/>
      <c r="E1608" s="2716"/>
      <c r="F1608" s="2716"/>
      <c r="G1608" s="1783">
        <f>G1600+G1605</f>
        <v>7702.9849999999997</v>
      </c>
    </row>
    <row r="1609" spans="1:7" ht="13.8" x14ac:dyDescent="0.25">
      <c r="A1609" s="2716" t="s">
        <v>2128</v>
      </c>
      <c r="B1609" s="2716"/>
      <c r="C1609" s="2716"/>
      <c r="D1609" s="2716"/>
      <c r="E1609" s="2716"/>
      <c r="F1609" s="2716"/>
      <c r="G1609" s="1783">
        <f>G1608/9.29</f>
        <v>829.16953713670614</v>
      </c>
    </row>
    <row r="1612" spans="1:7" ht="13.8" thickBot="1" x14ac:dyDescent="0.3"/>
    <row r="1613" spans="1:7" ht="13.8" x14ac:dyDescent="0.25">
      <c r="A1613" s="2717" t="s">
        <v>2272</v>
      </c>
      <c r="B1613" s="2718"/>
      <c r="C1613" s="2718"/>
      <c r="D1613" s="2718"/>
      <c r="E1613" s="2718"/>
      <c r="F1613" s="2718"/>
      <c r="G1613" s="2719"/>
    </row>
    <row r="1614" spans="1:7" ht="14.4" thickBot="1" x14ac:dyDescent="0.3">
      <c r="A1614" s="2720" t="s">
        <v>2093</v>
      </c>
      <c r="B1614" s="2721"/>
      <c r="C1614" s="2721"/>
      <c r="D1614" s="2721"/>
      <c r="E1614" s="2721"/>
      <c r="F1614" s="2721"/>
      <c r="G1614" s="2722"/>
    </row>
    <row r="1615" spans="1:7" ht="14.4" thickBot="1" x14ac:dyDescent="0.3">
      <c r="A1615" s="1773"/>
      <c r="B1615" s="1774" t="s">
        <v>2094</v>
      </c>
      <c r="C1615" s="1774" t="s">
        <v>2095</v>
      </c>
      <c r="D1615" s="1774" t="s">
        <v>2</v>
      </c>
      <c r="E1615" s="1774" t="s">
        <v>2096</v>
      </c>
      <c r="F1615" s="1774" t="s">
        <v>5</v>
      </c>
      <c r="G1615" s="1774" t="s">
        <v>2097</v>
      </c>
    </row>
    <row r="1616" spans="1:7" ht="13.8" x14ac:dyDescent="0.25">
      <c r="A1616" s="1775"/>
      <c r="B1616" s="1775"/>
      <c r="C1616" s="1776"/>
      <c r="D1616" s="1777"/>
      <c r="E1616" s="1777"/>
      <c r="F1616" s="1777"/>
      <c r="G1616" s="1777"/>
    </row>
    <row r="1617" spans="1:7" ht="13.8" x14ac:dyDescent="0.25">
      <c r="A1617" s="1788"/>
      <c r="B1617" s="1788"/>
      <c r="C1617" s="1789"/>
      <c r="D1617" s="1789"/>
      <c r="E1617" s="1789"/>
      <c r="F1617" s="1789"/>
      <c r="G1617" s="1789"/>
    </row>
    <row r="1618" spans="1:7" ht="13.8" x14ac:dyDescent="0.25">
      <c r="A1618" s="1788"/>
      <c r="B1618" s="1788" t="s">
        <v>2082</v>
      </c>
      <c r="C1618" s="1789" t="s">
        <v>1974</v>
      </c>
      <c r="D1618" s="1789">
        <v>1</v>
      </c>
      <c r="E1618" s="1789">
        <f>Material!E149</f>
        <v>641.04999999999995</v>
      </c>
      <c r="F1618" s="1789">
        <f t="shared" ref="F1618:F1621" si="162">D1618*E1618</f>
        <v>641.04999999999995</v>
      </c>
      <c r="G1618" s="1789"/>
    </row>
    <row r="1619" spans="1:7" ht="13.8" x14ac:dyDescent="0.25">
      <c r="A1619" s="1788"/>
      <c r="B1619" s="1817" t="s">
        <v>2265</v>
      </c>
      <c r="C1619" s="1789" t="s">
        <v>1974</v>
      </c>
      <c r="D1619" s="1789">
        <v>1.5</v>
      </c>
      <c r="E1619" s="1789">
        <f>Material!E154</f>
        <v>2370.1999999999998</v>
      </c>
      <c r="F1619" s="1789">
        <f t="shared" si="162"/>
        <v>3555.2999999999997</v>
      </c>
      <c r="G1619" s="1789"/>
    </row>
    <row r="1620" spans="1:7" ht="13.8" x14ac:dyDescent="0.25">
      <c r="A1620" s="1788"/>
      <c r="B1620" s="1788" t="s">
        <v>2090</v>
      </c>
      <c r="C1620" s="1789" t="s">
        <v>981</v>
      </c>
      <c r="D1620" s="1789">
        <v>0.1</v>
      </c>
      <c r="E1620" s="1789">
        <f>Material!E161</f>
        <v>1600</v>
      </c>
      <c r="F1620" s="1789">
        <f t="shared" si="162"/>
        <v>160</v>
      </c>
      <c r="G1620" s="1789"/>
    </row>
    <row r="1621" spans="1:7" ht="13.8" x14ac:dyDescent="0.25">
      <c r="A1621" s="1788"/>
      <c r="B1621" s="1817" t="s">
        <v>1988</v>
      </c>
      <c r="C1621" s="1789" t="s">
        <v>981</v>
      </c>
      <c r="D1621" s="1789">
        <v>1</v>
      </c>
      <c r="E1621" s="1789">
        <f>Material!E162</f>
        <v>260</v>
      </c>
      <c r="F1621" s="1789">
        <f t="shared" si="162"/>
        <v>260</v>
      </c>
      <c r="G1621" s="1789"/>
    </row>
    <row r="1622" spans="1:7" ht="13.8" x14ac:dyDescent="0.25">
      <c r="A1622" s="1775"/>
      <c r="B1622" s="1790"/>
      <c r="C1622" s="1777"/>
      <c r="D1622" s="1777"/>
      <c r="E1622" s="1777"/>
      <c r="F1622" s="1777"/>
      <c r="G1622" s="1777"/>
    </row>
    <row r="1623" spans="1:7" ht="13.8" x14ac:dyDescent="0.25">
      <c r="A1623" s="1775"/>
      <c r="B1623" s="1776" t="s">
        <v>2266</v>
      </c>
      <c r="C1623" s="1777"/>
      <c r="D1623" s="1777"/>
      <c r="E1623" s="1777"/>
      <c r="F1623" s="1777">
        <f>(F1618+F1619+F1620+F1621)*10%</f>
        <v>461.63499999999999</v>
      </c>
      <c r="G1623" s="1777"/>
    </row>
    <row r="1624" spans="1:7" ht="13.8" x14ac:dyDescent="0.25">
      <c r="A1624" s="1775"/>
      <c r="B1624" s="1775"/>
      <c r="C1624" s="1776"/>
      <c r="D1624" s="1777"/>
      <c r="E1624" s="1777"/>
      <c r="F1624" s="1777">
        <f t="shared" ref="F1624" si="163">D1624*E1624</f>
        <v>0</v>
      </c>
      <c r="G1624" s="1777"/>
    </row>
    <row r="1625" spans="1:7" ht="13.8" x14ac:dyDescent="0.25">
      <c r="A1625" s="1779"/>
      <c r="B1625" s="2723" t="s">
        <v>2112</v>
      </c>
      <c r="C1625" s="2723"/>
      <c r="D1625" s="2723"/>
      <c r="E1625" s="2723"/>
      <c r="F1625" s="1780"/>
      <c r="G1625" s="1781">
        <f>SUM(F1617:F1625)</f>
        <v>5077.9849999999997</v>
      </c>
    </row>
    <row r="1626" spans="1:7" ht="13.8" x14ac:dyDescent="0.25">
      <c r="A1626" s="1775"/>
      <c r="B1626" s="1778" t="s">
        <v>2098</v>
      </c>
      <c r="C1626" s="1776"/>
      <c r="D1626" s="1777"/>
      <c r="E1626" s="1777"/>
      <c r="F1626" s="1777">
        <f t="shared" ref="F1626:F1627" si="164">D1626*E1626</f>
        <v>0</v>
      </c>
      <c r="G1626" s="1777"/>
    </row>
    <row r="1627" spans="1:7" ht="13.8" x14ac:dyDescent="0.25">
      <c r="A1627" s="1788"/>
      <c r="B1627" s="1788" t="s">
        <v>2106</v>
      </c>
      <c r="C1627" s="1789" t="s">
        <v>2126</v>
      </c>
      <c r="D1627" s="1789">
        <v>100</v>
      </c>
      <c r="E1627" s="1789">
        <v>32</v>
      </c>
      <c r="F1627" s="1789">
        <f t="shared" si="164"/>
        <v>3200</v>
      </c>
      <c r="G1627" s="1789"/>
    </row>
    <row r="1628" spans="1:7" ht="13.8" x14ac:dyDescent="0.25">
      <c r="A1628" s="1775"/>
      <c r="B1628" s="1775"/>
      <c r="C1628" s="1777"/>
      <c r="D1628" s="1777"/>
      <c r="E1628" s="1777"/>
      <c r="F1628" s="1777"/>
      <c r="G1628" s="1777"/>
    </row>
    <row r="1629" spans="1:7" ht="13.8" x14ac:dyDescent="0.25">
      <c r="A1629" s="1775"/>
      <c r="B1629" s="1775" t="s">
        <v>2267</v>
      </c>
      <c r="C1629" s="1776"/>
      <c r="D1629" s="1777"/>
      <c r="E1629" s="1777"/>
      <c r="F1629" s="1777">
        <f>F1627*5%</f>
        <v>160</v>
      </c>
      <c r="G1629" s="1777"/>
    </row>
    <row r="1630" spans="1:7" ht="13.8" x14ac:dyDescent="0.25">
      <c r="A1630" s="1779"/>
      <c r="B1630" s="2723" t="s">
        <v>2100</v>
      </c>
      <c r="C1630" s="2723"/>
      <c r="D1630" s="2723"/>
      <c r="E1630" s="2723"/>
      <c r="F1630" s="1780">
        <f t="shared" ref="F1630" si="165">D1630*E1630</f>
        <v>0</v>
      </c>
      <c r="G1630" s="1781">
        <f>SUM(F1627:F1630)</f>
        <v>3360</v>
      </c>
    </row>
    <row r="1631" spans="1:7" ht="13.8" x14ac:dyDescent="0.25">
      <c r="A1631" s="1775"/>
      <c r="B1631" s="1782"/>
      <c r="C1631" s="1782"/>
      <c r="D1631" s="1782"/>
      <c r="E1631" s="1782"/>
      <c r="F1631" s="1777"/>
      <c r="G1631" s="1782"/>
    </row>
    <row r="1632" spans="1:7" ht="13.8" x14ac:dyDescent="0.25">
      <c r="A1632" s="1775"/>
      <c r="B1632" s="1782"/>
      <c r="C1632" s="1782"/>
      <c r="D1632" s="1782"/>
      <c r="E1632" s="1782"/>
      <c r="F1632" s="1777"/>
      <c r="G1632" s="1782"/>
    </row>
    <row r="1633" spans="1:7" ht="13.8" x14ac:dyDescent="0.25">
      <c r="A1633" s="2716" t="s">
        <v>2127</v>
      </c>
      <c r="B1633" s="2716"/>
      <c r="C1633" s="2716"/>
      <c r="D1633" s="2716"/>
      <c r="E1633" s="2716"/>
      <c r="F1633" s="2716"/>
      <c r="G1633" s="1783">
        <f>G1625+G1630</f>
        <v>8437.9850000000006</v>
      </c>
    </row>
    <row r="1634" spans="1:7" ht="13.8" x14ac:dyDescent="0.25">
      <c r="A1634" s="2716" t="s">
        <v>2128</v>
      </c>
      <c r="B1634" s="2716"/>
      <c r="C1634" s="2716"/>
      <c r="D1634" s="2716"/>
      <c r="E1634" s="2716"/>
      <c r="F1634" s="2716"/>
      <c r="G1634" s="1783">
        <f>G1633/9.29</f>
        <v>908.28686759956963</v>
      </c>
    </row>
    <row r="1637" spans="1:7" x14ac:dyDescent="0.25">
      <c r="A1637" s="2729" t="s">
        <v>2195</v>
      </c>
      <c r="B1637" s="2729"/>
      <c r="C1637" s="2729"/>
      <c r="D1637" s="2729"/>
      <c r="E1637" s="2729"/>
      <c r="F1637" s="2729"/>
      <c r="G1637" s="2729"/>
    </row>
    <row r="1639" spans="1:7" ht="13.8" thickBot="1" x14ac:dyDescent="0.3"/>
    <row r="1640" spans="1:7" ht="13.8" x14ac:dyDescent="0.25">
      <c r="A1640" s="2717" t="s">
        <v>2196</v>
      </c>
      <c r="B1640" s="2718"/>
      <c r="C1640" s="2718"/>
      <c r="D1640" s="2718"/>
      <c r="E1640" s="2718"/>
      <c r="F1640" s="2718"/>
      <c r="G1640" s="2719"/>
    </row>
    <row r="1641" spans="1:7" ht="14.4" thickBot="1" x14ac:dyDescent="0.3">
      <c r="A1641" s="2720" t="s">
        <v>2197</v>
      </c>
      <c r="B1641" s="2721"/>
      <c r="C1641" s="2721"/>
      <c r="D1641" s="2721"/>
      <c r="E1641" s="2721"/>
      <c r="F1641" s="2721"/>
      <c r="G1641" s="2722"/>
    </row>
    <row r="1642" spans="1:7" ht="14.4" thickBot="1" x14ac:dyDescent="0.3">
      <c r="A1642" s="1773"/>
      <c r="B1642" s="1774" t="s">
        <v>2094</v>
      </c>
      <c r="C1642" s="1818" t="s">
        <v>2095</v>
      </c>
      <c r="D1642" s="1774" t="s">
        <v>2</v>
      </c>
      <c r="E1642" s="1774" t="s">
        <v>2096</v>
      </c>
      <c r="F1642" s="1774" t="s">
        <v>5</v>
      </c>
      <c r="G1642" s="1774" t="s">
        <v>2097</v>
      </c>
    </row>
    <row r="1643" spans="1:7" ht="13.8" x14ac:dyDescent="0.25">
      <c r="A1643" s="1775"/>
      <c r="B1643" s="1778" t="s">
        <v>2111</v>
      </c>
      <c r="C1643" s="1819"/>
      <c r="D1643" s="1777"/>
      <c r="E1643" s="1777"/>
      <c r="F1643" s="1777"/>
      <c r="G1643" s="1777"/>
    </row>
    <row r="1644" spans="1:7" ht="15.6" x14ac:dyDescent="0.4">
      <c r="A1644" s="1775"/>
      <c r="B1644" s="1787" t="s">
        <v>2198</v>
      </c>
      <c r="C1644" s="1819"/>
      <c r="D1644" s="1777"/>
      <c r="E1644" s="1777"/>
      <c r="F1644" s="1777"/>
      <c r="G1644" s="1777"/>
    </row>
    <row r="1645" spans="1:7" ht="13.8" x14ac:dyDescent="0.25">
      <c r="A1645" s="1775"/>
      <c r="B1645" s="1775" t="s">
        <v>2159</v>
      </c>
      <c r="C1645" s="1819" t="s">
        <v>2199</v>
      </c>
      <c r="D1645" s="1834">
        <v>0.4</v>
      </c>
      <c r="E1645" s="1777">
        <f>F197</f>
        <v>2235.625</v>
      </c>
      <c r="F1645" s="1777">
        <f t="shared" ref="F1645:F1646" si="166">D1645*E1645</f>
        <v>894.25</v>
      </c>
      <c r="G1645" s="1777"/>
    </row>
    <row r="1646" spans="1:7" ht="13.8" x14ac:dyDescent="0.25">
      <c r="A1646" s="1775"/>
      <c r="B1646" s="1775" t="s">
        <v>1947</v>
      </c>
      <c r="C1646" s="1819" t="s">
        <v>2200</v>
      </c>
      <c r="D1646" s="1834">
        <v>0.03</v>
      </c>
      <c r="E1646" s="1777">
        <f>Material!E13</f>
        <v>23500</v>
      </c>
      <c r="F1646" s="1777">
        <f t="shared" si="166"/>
        <v>705</v>
      </c>
      <c r="G1646" s="1777"/>
    </row>
    <row r="1647" spans="1:7" ht="13.8" x14ac:dyDescent="0.25">
      <c r="A1647" s="1775"/>
      <c r="B1647" s="1775"/>
      <c r="C1647" s="1819"/>
      <c r="D1647" s="1834"/>
      <c r="E1647" s="1777"/>
      <c r="F1647" s="1777"/>
      <c r="G1647" s="1777"/>
    </row>
    <row r="1648" spans="1:7" ht="13.8" x14ac:dyDescent="0.25">
      <c r="A1648" s="1775"/>
      <c r="B1648" s="1775" t="s">
        <v>2201</v>
      </c>
      <c r="C1648" s="1819" t="s">
        <v>2199</v>
      </c>
      <c r="D1648" s="1834">
        <v>0.15</v>
      </c>
      <c r="E1648" s="1777">
        <v>5500</v>
      </c>
      <c r="F1648" s="1777">
        <f>D1648*E1648</f>
        <v>825</v>
      </c>
      <c r="G1648" s="1777"/>
    </row>
    <row r="1649" spans="1:7" ht="13.8" x14ac:dyDescent="0.25">
      <c r="A1649" s="1775"/>
      <c r="B1649" s="1775" t="s">
        <v>2202</v>
      </c>
      <c r="C1649" s="1819" t="s">
        <v>2199</v>
      </c>
      <c r="D1649" s="1834">
        <v>0.2</v>
      </c>
      <c r="E1649" s="1777">
        <v>47150</v>
      </c>
      <c r="F1649" s="1777">
        <f>D1649*E1649</f>
        <v>9430</v>
      </c>
      <c r="G1649" s="1777"/>
    </row>
    <row r="1650" spans="1:7" ht="13.8" x14ac:dyDescent="0.25">
      <c r="A1650" s="1775"/>
      <c r="B1650" s="1775"/>
      <c r="C1650" s="1819"/>
      <c r="D1650" s="1777"/>
      <c r="E1650" s="1777"/>
      <c r="F1650" s="1820">
        <f>SUM(F1645:F1649)</f>
        <v>11854.25</v>
      </c>
      <c r="G1650" s="1777"/>
    </row>
    <row r="1651" spans="1:7" ht="13.8" x14ac:dyDescent="0.25">
      <c r="A1651" s="1775"/>
      <c r="B1651" s="1776" t="s">
        <v>2203</v>
      </c>
      <c r="C1651" s="1819"/>
      <c r="D1651" s="1777"/>
      <c r="E1651" s="1777"/>
      <c r="F1651" s="1777">
        <v>400</v>
      </c>
      <c r="G1651" s="1777"/>
    </row>
    <row r="1652" spans="1:7" ht="13.8" x14ac:dyDescent="0.25">
      <c r="A1652" s="1775"/>
      <c r="B1652" s="1776"/>
      <c r="C1652" s="1819"/>
      <c r="D1652" s="1777"/>
      <c r="E1652" s="1777"/>
      <c r="F1652" s="1777"/>
      <c r="G1652" s="1777"/>
    </row>
    <row r="1653" spans="1:7" ht="13.8" x14ac:dyDescent="0.25">
      <c r="A1653" s="1779"/>
      <c r="B1653" s="2730" t="s">
        <v>2112</v>
      </c>
      <c r="C1653" s="2731"/>
      <c r="D1653" s="2731"/>
      <c r="E1653" s="2732"/>
      <c r="F1653" s="1780"/>
      <c r="G1653" s="1781">
        <f>SUM(F1650:F1653)</f>
        <v>12254.25</v>
      </c>
    </row>
    <row r="1654" spans="1:7" ht="13.8" x14ac:dyDescent="0.25">
      <c r="A1654" s="1775"/>
      <c r="B1654" s="1778" t="s">
        <v>2098</v>
      </c>
      <c r="C1654" s="1819"/>
      <c r="D1654" s="1777"/>
      <c r="E1654" s="1777"/>
      <c r="F1654" s="1777">
        <f t="shared" ref="F1654:F1655" si="167">D1654*E1654</f>
        <v>0</v>
      </c>
      <c r="G1654" s="1777"/>
    </row>
    <row r="1655" spans="1:7" ht="13.8" x14ac:dyDescent="0.25">
      <c r="A1655" s="1775"/>
      <c r="B1655" s="1790" t="s">
        <v>2273</v>
      </c>
      <c r="C1655" s="1819" t="s">
        <v>2126</v>
      </c>
      <c r="D1655" s="1777">
        <v>38.75</v>
      </c>
      <c r="E1655" s="1777">
        <v>40</v>
      </c>
      <c r="F1655" s="1777">
        <f t="shared" si="167"/>
        <v>1550</v>
      </c>
      <c r="G1655" s="1777"/>
    </row>
    <row r="1656" spans="1:7" ht="13.8" x14ac:dyDescent="0.25">
      <c r="A1656" s="1775"/>
      <c r="B1656" s="1790" t="s">
        <v>2274</v>
      </c>
      <c r="C1656" s="1819" t="s">
        <v>2206</v>
      </c>
      <c r="D1656" s="1777">
        <v>22.65</v>
      </c>
      <c r="E1656" s="1777">
        <v>65</v>
      </c>
      <c r="F1656" s="1777">
        <f>D1656*E1656</f>
        <v>1472.25</v>
      </c>
      <c r="G1656" s="1777"/>
    </row>
    <row r="1657" spans="1:7" ht="13.8" x14ac:dyDescent="0.25">
      <c r="A1657" s="1775"/>
      <c r="B1657" s="1775"/>
      <c r="C1657" s="1819"/>
      <c r="D1657" s="1777"/>
      <c r="E1657" s="1777"/>
      <c r="F1657" s="1777"/>
      <c r="G1657" s="1777"/>
    </row>
    <row r="1658" spans="1:7" ht="13.8" x14ac:dyDescent="0.25">
      <c r="A1658" s="1779"/>
      <c r="B1658" s="2730" t="s">
        <v>2100</v>
      </c>
      <c r="C1658" s="2731"/>
      <c r="D1658" s="2731"/>
      <c r="E1658" s="2732"/>
      <c r="F1658" s="1780">
        <f t="shared" ref="F1658" si="168">D1658*E1658</f>
        <v>0</v>
      </c>
      <c r="G1658" s="1781">
        <f>SUM(F1655:F1658)</f>
        <v>3022.25</v>
      </c>
    </row>
    <row r="1659" spans="1:7" ht="13.8" x14ac:dyDescent="0.25">
      <c r="A1659" s="1775"/>
      <c r="B1659" s="1782"/>
      <c r="C1659" s="1821"/>
      <c r="D1659" s="1782"/>
      <c r="E1659" s="1782"/>
      <c r="F1659" s="1777"/>
      <c r="G1659" s="1782"/>
    </row>
    <row r="1660" spans="1:7" ht="13.8" x14ac:dyDescent="0.25">
      <c r="A1660" s="1775"/>
      <c r="B1660" s="1782"/>
      <c r="C1660" s="1821"/>
      <c r="D1660" s="1782"/>
      <c r="E1660" s="1782"/>
      <c r="F1660" s="1777"/>
      <c r="G1660" s="1782"/>
    </row>
    <row r="1661" spans="1:7" ht="13.8" x14ac:dyDescent="0.25">
      <c r="A1661" s="2725" t="s">
        <v>2207</v>
      </c>
      <c r="B1661" s="2726"/>
      <c r="C1661" s="2726"/>
      <c r="D1661" s="2726"/>
      <c r="E1661" s="2726"/>
      <c r="F1661" s="2727"/>
      <c r="G1661" s="1783">
        <f>G1653+G1658</f>
        <v>15276.5</v>
      </c>
    </row>
    <row r="1662" spans="1:7" ht="13.8" x14ac:dyDescent="0.25">
      <c r="A1662" s="2725" t="s">
        <v>2129</v>
      </c>
      <c r="B1662" s="2726"/>
      <c r="C1662" s="2726"/>
      <c r="D1662" s="2726"/>
      <c r="E1662" s="2726"/>
      <c r="F1662" s="2727"/>
      <c r="G1662" s="1783">
        <f>G1661/38.75</f>
        <v>394.23225806451615</v>
      </c>
    </row>
    <row r="1663" spans="1:7" ht="13.8" x14ac:dyDescent="0.25">
      <c r="A1663" s="2725" t="s">
        <v>2128</v>
      </c>
      <c r="B1663" s="2726"/>
      <c r="C1663" s="2726"/>
      <c r="D1663" s="2726"/>
      <c r="E1663" s="2726"/>
      <c r="F1663" s="2727"/>
      <c r="G1663" s="1783">
        <f>G1662*10.76</f>
        <v>4241.9390967741938</v>
      </c>
    </row>
    <row r="1712" spans="1:29" s="1809" customFormat="1" x14ac:dyDescent="0.25">
      <c r="A1712" s="1772"/>
      <c r="B1712" s="1772"/>
      <c r="C1712" s="1772"/>
      <c r="D1712" s="1772"/>
      <c r="E1712" s="1772"/>
      <c r="F1712" s="1772"/>
      <c r="G1712" s="1772"/>
      <c r="H1712" s="2014"/>
      <c r="I1712" s="2014"/>
      <c r="J1712" s="2014">
        <f>4000/100</f>
        <v>40</v>
      </c>
      <c r="P1712" s="1772"/>
      <c r="Q1712" s="1772"/>
      <c r="R1712" s="1772"/>
      <c r="S1712" s="1772"/>
      <c r="T1712" s="1772"/>
      <c r="U1712" s="1772"/>
      <c r="V1712" s="1772"/>
      <c r="W1712" s="1772"/>
      <c r="X1712" s="1772"/>
      <c r="Y1712" s="1772"/>
      <c r="Z1712" s="1772"/>
      <c r="AA1712" s="1772"/>
      <c r="AB1712" s="1772"/>
      <c r="AC1712" s="1772"/>
    </row>
    <row r="1715" spans="1:29" s="1809" customFormat="1" x14ac:dyDescent="0.25">
      <c r="A1715" s="2728" t="s">
        <v>2275</v>
      </c>
      <c r="B1715" s="2728"/>
      <c r="C1715" s="2728"/>
      <c r="D1715" s="2728"/>
      <c r="E1715" s="2728"/>
      <c r="F1715" s="2728"/>
      <c r="G1715" s="2728"/>
      <c r="H1715" s="2014"/>
      <c r="I1715" s="2014"/>
      <c r="J1715" s="2014"/>
      <c r="P1715" s="1772"/>
      <c r="Q1715" s="1772"/>
      <c r="R1715" s="1772"/>
      <c r="S1715" s="1772"/>
      <c r="T1715" s="1772"/>
      <c r="U1715" s="1772"/>
      <c r="V1715" s="1772"/>
      <c r="W1715" s="1772"/>
      <c r="X1715" s="1772"/>
      <c r="Y1715" s="1772"/>
      <c r="Z1715" s="1772"/>
      <c r="AA1715" s="1772"/>
      <c r="AB1715" s="1772"/>
      <c r="AC1715" s="1772"/>
    </row>
    <row r="1717" spans="1:29" s="1809" customFormat="1" x14ac:dyDescent="0.25">
      <c r="A1717" s="1772"/>
      <c r="B1717" s="1772"/>
      <c r="C1717" s="1772"/>
      <c r="D1717" s="1772"/>
      <c r="E1717" s="1772"/>
      <c r="F1717" s="1772"/>
      <c r="G1717" s="1772"/>
      <c r="H1717" s="2014"/>
      <c r="I1717" s="2014">
        <f>4*3.28</f>
        <v>13.12</v>
      </c>
      <c r="J1717" s="2014">
        <f>I1717*40</f>
        <v>524.79999999999995</v>
      </c>
      <c r="P1717" s="1772"/>
      <c r="Q1717" s="1772"/>
      <c r="R1717" s="1772"/>
      <c r="S1717" s="1772"/>
      <c r="T1717" s="1772"/>
      <c r="U1717" s="1772"/>
      <c r="V1717" s="1772"/>
      <c r="W1717" s="1772"/>
      <c r="X1717" s="1772"/>
      <c r="Y1717" s="1772"/>
      <c r="Z1717" s="1772"/>
      <c r="AA1717" s="1772"/>
      <c r="AB1717" s="1772"/>
      <c r="AC1717" s="1772"/>
    </row>
    <row r="1720" spans="1:29" s="1809" customFormat="1" ht="13.8" thickBot="1" x14ac:dyDescent="0.3">
      <c r="A1720" s="1772"/>
      <c r="B1720" s="1772"/>
      <c r="C1720" s="1772"/>
      <c r="D1720" s="1772"/>
      <c r="E1720" s="1772"/>
      <c r="F1720" s="1772"/>
      <c r="G1720" s="1772"/>
      <c r="H1720" s="2014"/>
      <c r="I1720" s="2014"/>
      <c r="J1720" s="2014">
        <f>6.92*1</f>
        <v>6.92</v>
      </c>
      <c r="K1720" s="1809">
        <f>5000/6.92</f>
        <v>722.54335260115613</v>
      </c>
      <c r="P1720" s="1772"/>
      <c r="Q1720" s="1772"/>
      <c r="R1720" s="1772"/>
      <c r="S1720" s="1772"/>
      <c r="T1720" s="1772"/>
      <c r="U1720" s="1772"/>
      <c r="V1720" s="1772"/>
      <c r="W1720" s="1772"/>
      <c r="X1720" s="1772"/>
      <c r="Y1720" s="1772"/>
      <c r="Z1720" s="1772"/>
      <c r="AA1720" s="1772"/>
      <c r="AB1720" s="1772"/>
      <c r="AC1720" s="1772"/>
    </row>
    <row r="1721" spans="1:29" s="1809" customFormat="1" ht="13.8" x14ac:dyDescent="0.25">
      <c r="A1721" s="2717" t="s">
        <v>2276</v>
      </c>
      <c r="B1721" s="2718"/>
      <c r="C1721" s="2718"/>
      <c r="D1721" s="2718"/>
      <c r="E1721" s="2718"/>
      <c r="F1721" s="2718"/>
      <c r="G1721" s="2719"/>
      <c r="H1721" s="2014"/>
      <c r="I1721" s="2014"/>
      <c r="J1721" s="2014"/>
      <c r="P1721" s="1772"/>
      <c r="Q1721" s="1772"/>
      <c r="R1721" s="1772"/>
      <c r="S1721" s="1772"/>
      <c r="T1721" s="1772"/>
      <c r="U1721" s="1772"/>
      <c r="V1721" s="1772"/>
      <c r="W1721" s="1772"/>
      <c r="X1721" s="1772"/>
      <c r="Y1721" s="1772"/>
      <c r="Z1721" s="1772"/>
      <c r="AA1721" s="1772"/>
      <c r="AB1721" s="1772"/>
      <c r="AC1721" s="1772"/>
    </row>
    <row r="1722" spans="1:29" s="1809" customFormat="1" ht="14.4" thickBot="1" x14ac:dyDescent="0.3">
      <c r="A1722" s="2720" t="s">
        <v>2093</v>
      </c>
      <c r="B1722" s="2721"/>
      <c r="C1722" s="2721"/>
      <c r="D1722" s="2721"/>
      <c r="E1722" s="2721"/>
      <c r="F1722" s="2721"/>
      <c r="G1722" s="2722"/>
      <c r="H1722" s="2014"/>
      <c r="I1722" s="2014"/>
      <c r="J1722" s="2014"/>
      <c r="P1722" s="1772"/>
      <c r="Q1722" s="1772"/>
      <c r="R1722" s="1772"/>
      <c r="S1722" s="1772"/>
      <c r="T1722" s="1772"/>
      <c r="U1722" s="1772"/>
      <c r="V1722" s="1772"/>
      <c r="W1722" s="1772"/>
      <c r="X1722" s="1772"/>
      <c r="Y1722" s="1772"/>
      <c r="Z1722" s="1772"/>
      <c r="AA1722" s="1772"/>
      <c r="AB1722" s="1772"/>
      <c r="AC1722" s="1772"/>
    </row>
    <row r="1723" spans="1:29" s="1809" customFormat="1" ht="14.4" thickBot="1" x14ac:dyDescent="0.3">
      <c r="A1723" s="1773"/>
      <c r="B1723" s="1774" t="s">
        <v>2094</v>
      </c>
      <c r="C1723" s="1774" t="s">
        <v>2095</v>
      </c>
      <c r="D1723" s="1774" t="s">
        <v>2</v>
      </c>
      <c r="E1723" s="1774" t="s">
        <v>2096</v>
      </c>
      <c r="F1723" s="1774" t="s">
        <v>5</v>
      </c>
      <c r="G1723" s="1774" t="s">
        <v>2097</v>
      </c>
      <c r="H1723" s="2014"/>
      <c r="I1723" s="2014"/>
      <c r="J1723" s="2014"/>
      <c r="P1723" s="1772"/>
      <c r="Q1723" s="1772"/>
      <c r="R1723" s="1772"/>
      <c r="S1723" s="1772"/>
      <c r="T1723" s="1772"/>
      <c r="U1723" s="1772"/>
      <c r="V1723" s="1772"/>
      <c r="W1723" s="1772"/>
      <c r="X1723" s="1772"/>
      <c r="Y1723" s="1772"/>
      <c r="Z1723" s="1772"/>
      <c r="AA1723" s="1772"/>
      <c r="AB1723" s="1772"/>
      <c r="AC1723" s="1772"/>
    </row>
    <row r="1724" spans="1:29" s="1809" customFormat="1" ht="13.8" x14ac:dyDescent="0.25">
      <c r="A1724" s="1775"/>
      <c r="B1724" s="1775"/>
      <c r="C1724" s="1776"/>
      <c r="D1724" s="1777"/>
      <c r="E1724" s="1777"/>
      <c r="F1724" s="1777"/>
      <c r="G1724" s="1777"/>
      <c r="H1724" s="2014"/>
      <c r="I1724" s="2014"/>
      <c r="J1724" s="2014"/>
      <c r="P1724" s="1772"/>
      <c r="Q1724" s="1772"/>
      <c r="R1724" s="1772"/>
      <c r="S1724" s="1772"/>
      <c r="T1724" s="1772"/>
      <c r="U1724" s="1772"/>
      <c r="V1724" s="1772"/>
      <c r="W1724" s="1772"/>
      <c r="X1724" s="1772"/>
      <c r="Y1724" s="1772"/>
      <c r="Z1724" s="1772"/>
      <c r="AA1724" s="1772"/>
      <c r="AB1724" s="1772"/>
      <c r="AC1724" s="1772"/>
    </row>
    <row r="1725" spans="1:29" s="1809" customFormat="1" ht="27.6" x14ac:dyDescent="0.25">
      <c r="A1725" s="1788"/>
      <c r="B1725" s="1817" t="s">
        <v>2277</v>
      </c>
      <c r="C1725" s="1789" t="s">
        <v>981</v>
      </c>
      <c r="D1725" s="1789">
        <v>1</v>
      </c>
      <c r="E1725" s="1789">
        <f>339500*1.15</f>
        <v>390424.99999999994</v>
      </c>
      <c r="F1725" s="1789">
        <f>D1725*E1725</f>
        <v>390424.99999999994</v>
      </c>
      <c r="G1725" s="1789"/>
      <c r="H1725" s="2014"/>
      <c r="I1725" s="2014"/>
      <c r="J1725" s="2014"/>
      <c r="P1725" s="1772"/>
      <c r="Q1725" s="1772"/>
      <c r="R1725" s="1772"/>
      <c r="S1725" s="1772"/>
      <c r="T1725" s="1772"/>
      <c r="U1725" s="1772"/>
      <c r="V1725" s="1772"/>
      <c r="W1725" s="1772"/>
      <c r="X1725" s="1772"/>
      <c r="Y1725" s="1772"/>
      <c r="Z1725" s="1772"/>
      <c r="AA1725" s="1772"/>
      <c r="AB1725" s="1772"/>
      <c r="AC1725" s="1772"/>
    </row>
    <row r="1726" spans="1:29" s="1809" customFormat="1" ht="13.8" x14ac:dyDescent="0.25">
      <c r="A1726" s="1788"/>
      <c r="B1726" s="1788"/>
      <c r="C1726" s="1789"/>
      <c r="D1726" s="1789"/>
      <c r="E1726" s="1789"/>
      <c r="F1726" s="1789">
        <f t="shared" ref="F1726:F1729" si="169">D1726*E1726</f>
        <v>0</v>
      </c>
      <c r="G1726" s="1789"/>
      <c r="H1726" s="2014"/>
      <c r="I1726" s="2014"/>
      <c r="J1726" s="2014"/>
      <c r="P1726" s="1772"/>
      <c r="Q1726" s="1772"/>
      <c r="R1726" s="1772"/>
      <c r="S1726" s="1772"/>
      <c r="T1726" s="1772"/>
      <c r="U1726" s="1772"/>
      <c r="V1726" s="1772"/>
      <c r="W1726" s="1772"/>
      <c r="X1726" s="1772"/>
      <c r="Y1726" s="1772"/>
      <c r="Z1726" s="1772"/>
      <c r="AA1726" s="1772"/>
      <c r="AB1726" s="1772"/>
      <c r="AC1726" s="1772"/>
    </row>
    <row r="1727" spans="1:29" s="1809" customFormat="1" ht="13.8" x14ac:dyDescent="0.25">
      <c r="A1727" s="1788"/>
      <c r="B1727" s="1817"/>
      <c r="C1727" s="1789"/>
      <c r="D1727" s="1789"/>
      <c r="E1727" s="1789"/>
      <c r="F1727" s="1789">
        <f t="shared" si="169"/>
        <v>0</v>
      </c>
      <c r="G1727" s="1789"/>
      <c r="H1727" s="2014"/>
      <c r="I1727" s="2014"/>
      <c r="J1727" s="2014"/>
      <c r="P1727" s="1772"/>
      <c r="Q1727" s="1772"/>
      <c r="R1727" s="1772"/>
      <c r="S1727" s="1772"/>
      <c r="T1727" s="1772"/>
      <c r="U1727" s="1772"/>
      <c r="V1727" s="1772"/>
      <c r="W1727" s="1772"/>
      <c r="X1727" s="1772"/>
      <c r="Y1727" s="1772"/>
      <c r="Z1727" s="1772"/>
      <c r="AA1727" s="1772"/>
      <c r="AB1727" s="1772"/>
      <c r="AC1727" s="1772"/>
    </row>
    <row r="1728" spans="1:29" s="1809" customFormat="1" ht="13.8" x14ac:dyDescent="0.25">
      <c r="A1728" s="1788"/>
      <c r="B1728" s="1788"/>
      <c r="C1728" s="1789"/>
      <c r="D1728" s="1789"/>
      <c r="E1728" s="1789"/>
      <c r="F1728" s="1789">
        <f t="shared" si="169"/>
        <v>0</v>
      </c>
      <c r="G1728" s="1789"/>
      <c r="H1728" s="2014"/>
      <c r="I1728" s="2014"/>
      <c r="J1728" s="2014"/>
      <c r="P1728" s="1772"/>
      <c r="Q1728" s="1772"/>
      <c r="R1728" s="1772"/>
      <c r="S1728" s="1772"/>
      <c r="T1728" s="1772"/>
      <c r="U1728" s="1772"/>
      <c r="V1728" s="1772"/>
      <c r="W1728" s="1772"/>
      <c r="X1728" s="1772"/>
      <c r="Y1728" s="1772"/>
      <c r="Z1728" s="1772"/>
      <c r="AA1728" s="1772"/>
      <c r="AB1728" s="1772"/>
      <c r="AC1728" s="1772"/>
    </row>
    <row r="1729" spans="1:7" ht="13.8" x14ac:dyDescent="0.25">
      <c r="A1729" s="1788"/>
      <c r="B1729" s="1817"/>
      <c r="C1729" s="1789"/>
      <c r="D1729" s="1789"/>
      <c r="E1729" s="1789"/>
      <c r="F1729" s="1789">
        <f t="shared" si="169"/>
        <v>0</v>
      </c>
      <c r="G1729" s="1789"/>
    </row>
    <row r="1730" spans="1:7" ht="13.8" x14ac:dyDescent="0.25">
      <c r="A1730" s="1775"/>
      <c r="B1730" s="1790"/>
      <c r="C1730" s="1777"/>
      <c r="D1730" s="1777"/>
      <c r="E1730" s="1777"/>
      <c r="F1730" s="1777"/>
      <c r="G1730" s="1777"/>
    </row>
    <row r="1731" spans="1:7" ht="13.8" x14ac:dyDescent="0.25">
      <c r="A1731" s="1775"/>
      <c r="B1731" s="1776"/>
      <c r="C1731" s="1777"/>
      <c r="D1731" s="1777"/>
      <c r="E1731" s="1777"/>
      <c r="F1731" s="1777">
        <f>(F1725+F1726+F1727+F1728+F1729)*10%</f>
        <v>39042.499999999993</v>
      </c>
      <c r="G1731" s="1777"/>
    </row>
    <row r="1732" spans="1:7" ht="13.8" x14ac:dyDescent="0.25">
      <c r="A1732" s="1775"/>
      <c r="B1732" s="1775"/>
      <c r="C1732" s="1776"/>
      <c r="D1732" s="1777"/>
      <c r="E1732" s="1777"/>
      <c r="F1732" s="1777">
        <f t="shared" ref="F1732" si="170">D1732*E1732</f>
        <v>0</v>
      </c>
      <c r="G1732" s="1777"/>
    </row>
    <row r="1733" spans="1:7" ht="13.8" x14ac:dyDescent="0.25">
      <c r="A1733" s="1775"/>
      <c r="B1733" s="1782"/>
      <c r="C1733" s="1782"/>
      <c r="D1733" s="1782"/>
      <c r="E1733" s="1782"/>
      <c r="F1733" s="1777"/>
      <c r="G1733" s="1782"/>
    </row>
    <row r="1734" spans="1:7" ht="13.8" x14ac:dyDescent="0.25">
      <c r="A1734" s="1775"/>
      <c r="B1734" s="1782"/>
      <c r="C1734" s="1782"/>
      <c r="D1734" s="1782"/>
      <c r="E1734" s="1782"/>
      <c r="F1734" s="1777"/>
      <c r="G1734" s="1782"/>
    </row>
    <row r="1735" spans="1:7" ht="13.8" x14ac:dyDescent="0.25">
      <c r="A1735" s="2716" t="s">
        <v>2278</v>
      </c>
      <c r="B1735" s="2716"/>
      <c r="C1735" s="2716"/>
      <c r="D1735" s="2716"/>
      <c r="E1735" s="2716"/>
      <c r="F1735" s="2716"/>
      <c r="G1735" s="1783">
        <f>SUM(G1725:G1734)</f>
        <v>0</v>
      </c>
    </row>
    <row r="1737" spans="1:7" ht="13.8" thickBot="1" x14ac:dyDescent="0.3"/>
    <row r="1738" spans="1:7" ht="13.8" x14ac:dyDescent="0.25">
      <c r="A1738" s="2717" t="s">
        <v>2279</v>
      </c>
      <c r="B1738" s="2718"/>
      <c r="C1738" s="2718"/>
      <c r="D1738" s="2718"/>
      <c r="E1738" s="2718"/>
      <c r="F1738" s="2718"/>
      <c r="G1738" s="2719"/>
    </row>
    <row r="1739" spans="1:7" ht="14.4" thickBot="1" x14ac:dyDescent="0.3">
      <c r="A1739" s="2720" t="s">
        <v>2280</v>
      </c>
      <c r="B1739" s="2721"/>
      <c r="C1739" s="2721"/>
      <c r="D1739" s="2721"/>
      <c r="E1739" s="2721"/>
      <c r="F1739" s="2721"/>
      <c r="G1739" s="2722"/>
    </row>
    <row r="1740" spans="1:7" ht="14.4" thickBot="1" x14ac:dyDescent="0.3">
      <c r="A1740" s="1773"/>
      <c r="B1740" s="1774" t="s">
        <v>2094</v>
      </c>
      <c r="C1740" s="1774" t="s">
        <v>2095</v>
      </c>
      <c r="D1740" s="1774" t="s">
        <v>2</v>
      </c>
      <c r="E1740" s="1774" t="s">
        <v>2096</v>
      </c>
      <c r="F1740" s="1774" t="s">
        <v>5</v>
      </c>
      <c r="G1740" s="1774" t="s">
        <v>2097</v>
      </c>
    </row>
    <row r="1741" spans="1:7" ht="13.8" x14ac:dyDescent="0.25">
      <c r="A1741" s="1775"/>
      <c r="B1741" s="1775"/>
      <c r="C1741" s="1776"/>
      <c r="D1741" s="1777"/>
      <c r="E1741" s="1777"/>
      <c r="F1741" s="1777"/>
      <c r="G1741" s="1777"/>
    </row>
    <row r="1742" spans="1:7" ht="13.8" x14ac:dyDescent="0.25">
      <c r="A1742" s="1775"/>
      <c r="B1742" s="1778" t="s">
        <v>2111</v>
      </c>
      <c r="C1742" s="1776"/>
      <c r="D1742" s="1777"/>
      <c r="E1742" s="1777"/>
      <c r="F1742" s="1777"/>
      <c r="G1742" s="1777"/>
    </row>
    <row r="1743" spans="1:7" ht="13.8" x14ac:dyDescent="0.25">
      <c r="A1743" s="1775"/>
      <c r="B1743" s="1775" t="s">
        <v>2281</v>
      </c>
      <c r="C1743" s="1777" t="s">
        <v>981</v>
      </c>
      <c r="D1743" s="1777">
        <v>10</v>
      </c>
      <c r="E1743" s="1777">
        <f>2012.5*4</f>
        <v>8050</v>
      </c>
      <c r="F1743" s="1777">
        <f>D1743*E1743</f>
        <v>80500</v>
      </c>
      <c r="G1743" s="1777"/>
    </row>
    <row r="1744" spans="1:7" ht="13.8" x14ac:dyDescent="0.25">
      <c r="A1744" s="1788"/>
      <c r="B1744" s="1788"/>
      <c r="C1744" s="1789"/>
      <c r="D1744" s="1789"/>
      <c r="E1744" s="1789">
        <f>+F1564</f>
        <v>0</v>
      </c>
      <c r="F1744" s="1789">
        <f t="shared" ref="F1744" si="171">D1744*E1744</f>
        <v>0</v>
      </c>
      <c r="G1744" s="1789"/>
    </row>
    <row r="1745" spans="1:29" s="1809" customFormat="1" ht="13.8" x14ac:dyDescent="0.25">
      <c r="A1745" s="1788"/>
      <c r="B1745" s="1788" t="s">
        <v>2282</v>
      </c>
      <c r="C1745" s="1789" t="s">
        <v>2250</v>
      </c>
      <c r="D1745" s="1789"/>
      <c r="E1745" s="1789">
        <v>15000</v>
      </c>
      <c r="F1745" s="1789">
        <f>E1745</f>
        <v>15000</v>
      </c>
      <c r="G1745" s="1789"/>
      <c r="H1745" s="2014"/>
      <c r="I1745" s="2014"/>
      <c r="J1745" s="2014"/>
      <c r="P1745" s="1772"/>
      <c r="Q1745" s="1772"/>
      <c r="R1745" s="1772"/>
      <c r="S1745" s="1772"/>
      <c r="T1745" s="1772"/>
      <c r="U1745" s="1772"/>
      <c r="V1745" s="1772"/>
      <c r="W1745" s="1772"/>
      <c r="X1745" s="1772"/>
      <c r="Y1745" s="1772"/>
      <c r="Z1745" s="1772"/>
      <c r="AA1745" s="1772"/>
      <c r="AB1745" s="1772"/>
      <c r="AC1745" s="1772"/>
    </row>
    <row r="1746" spans="1:29" s="1809" customFormat="1" ht="13.8" x14ac:dyDescent="0.25">
      <c r="A1746" s="1788"/>
      <c r="B1746" s="1714"/>
      <c r="C1746" s="1789"/>
      <c r="D1746" s="1789"/>
      <c r="E1746" s="1789">
        <f>+[20]Material!D705</f>
        <v>0</v>
      </c>
      <c r="F1746" s="1789">
        <f t="shared" ref="F1746" si="172">E1746</f>
        <v>0</v>
      </c>
      <c r="G1746" s="1789"/>
      <c r="H1746" s="2014"/>
      <c r="I1746" s="2014"/>
      <c r="J1746" s="2014"/>
      <c r="P1746" s="1772"/>
      <c r="Q1746" s="1772"/>
      <c r="R1746" s="1772"/>
      <c r="S1746" s="1772"/>
      <c r="T1746" s="1772"/>
      <c r="U1746" s="1772"/>
      <c r="V1746" s="1772"/>
      <c r="W1746" s="1772"/>
      <c r="X1746" s="1772"/>
      <c r="Y1746" s="1772"/>
      <c r="Z1746" s="1772"/>
      <c r="AA1746" s="1772"/>
      <c r="AB1746" s="1772"/>
      <c r="AC1746" s="1772"/>
    </row>
    <row r="1747" spans="1:29" s="1809" customFormat="1" ht="13.8" x14ac:dyDescent="0.25">
      <c r="A1747" s="1788"/>
      <c r="B1747" s="1788" t="s">
        <v>2283</v>
      </c>
      <c r="C1747" s="1789" t="s">
        <v>1064</v>
      </c>
      <c r="D1747" s="1789">
        <v>525</v>
      </c>
      <c r="E1747" s="1789">
        <v>120</v>
      </c>
      <c r="F1747" s="1789">
        <f>D1747*E1747</f>
        <v>63000</v>
      </c>
      <c r="G1747" s="1789"/>
      <c r="H1747" s="2014">
        <f>475+25+25</f>
        <v>525</v>
      </c>
      <c r="I1747" s="2014"/>
      <c r="J1747" s="2014"/>
      <c r="P1747" s="1772"/>
      <c r="Q1747" s="1772"/>
      <c r="R1747" s="1772"/>
      <c r="S1747" s="1772"/>
      <c r="T1747" s="1772"/>
      <c r="U1747" s="1772"/>
      <c r="V1747" s="1772"/>
      <c r="W1747" s="1772"/>
      <c r="X1747" s="1772"/>
      <c r="Y1747" s="1772"/>
      <c r="Z1747" s="1772"/>
      <c r="AA1747" s="1772"/>
      <c r="AB1747" s="1772"/>
      <c r="AC1747" s="1772"/>
    </row>
    <row r="1748" spans="1:29" s="1809" customFormat="1" ht="13.8" x14ac:dyDescent="0.25">
      <c r="A1748" s="1788"/>
      <c r="B1748" s="1788"/>
      <c r="C1748" s="1789"/>
      <c r="D1748" s="1789"/>
      <c r="E1748" s="1789"/>
      <c r="F1748" s="1789"/>
      <c r="G1748" s="1789"/>
      <c r="H1748" s="2014">
        <v>2700</v>
      </c>
      <c r="I1748" s="2014"/>
      <c r="J1748" s="2014"/>
      <c r="P1748" s="1772"/>
      <c r="Q1748" s="1772"/>
      <c r="R1748" s="1772"/>
      <c r="S1748" s="1772"/>
      <c r="T1748" s="1772"/>
      <c r="U1748" s="1772"/>
      <c r="V1748" s="1772"/>
      <c r="W1748" s="1772"/>
      <c r="X1748" s="1772"/>
      <c r="Y1748" s="1772"/>
      <c r="Z1748" s="1772"/>
      <c r="AA1748" s="1772"/>
      <c r="AB1748" s="1772"/>
      <c r="AC1748" s="1772"/>
    </row>
    <row r="1749" spans="1:29" s="1809" customFormat="1" ht="13.8" x14ac:dyDescent="0.25">
      <c r="A1749" s="1788"/>
      <c r="B1749" s="1788" t="s">
        <v>2284</v>
      </c>
      <c r="C1749" s="1789" t="s">
        <v>2126</v>
      </c>
      <c r="D1749" s="1789">
        <f>(16*10.76)</f>
        <v>172.16</v>
      </c>
      <c r="E1749" s="1789">
        <v>725</v>
      </c>
      <c r="F1749" s="1789">
        <f t="shared" ref="F1749" si="173">D1749*E1749</f>
        <v>124816</v>
      </c>
      <c r="G1749" s="1789"/>
      <c r="H1749" s="2014">
        <v>650</v>
      </c>
      <c r="I1749" s="2014"/>
      <c r="J1749" s="2014"/>
      <c r="P1749" s="1772"/>
      <c r="Q1749" s="1772"/>
      <c r="R1749" s="1772"/>
      <c r="S1749" s="1772"/>
      <c r="T1749" s="1772"/>
      <c r="U1749" s="1772"/>
      <c r="V1749" s="1772"/>
      <c r="W1749" s="1772"/>
      <c r="X1749" s="1772"/>
      <c r="Y1749" s="1772"/>
      <c r="Z1749" s="1772"/>
      <c r="AA1749" s="1772"/>
      <c r="AB1749" s="1772"/>
      <c r="AC1749" s="1772"/>
    </row>
    <row r="1750" spans="1:29" s="1809" customFormat="1" ht="13.8" x14ac:dyDescent="0.25">
      <c r="A1750" s="1788"/>
      <c r="B1750" s="1788"/>
      <c r="C1750" s="1789"/>
      <c r="D1750" s="1789"/>
      <c r="E1750" s="1789"/>
      <c r="F1750" s="1777"/>
      <c r="G1750" s="1789"/>
      <c r="H1750" s="2014">
        <v>150</v>
      </c>
      <c r="I1750" s="2014"/>
      <c r="J1750" s="2014"/>
      <c r="P1750" s="1772"/>
      <c r="Q1750" s="1772"/>
      <c r="R1750" s="1772"/>
      <c r="S1750" s="1772"/>
      <c r="T1750" s="1772"/>
      <c r="U1750" s="1772"/>
      <c r="V1750" s="1772"/>
      <c r="W1750" s="1772"/>
      <c r="X1750" s="1772"/>
      <c r="Y1750" s="1772"/>
      <c r="Z1750" s="1772"/>
      <c r="AA1750" s="1772"/>
      <c r="AB1750" s="1772"/>
      <c r="AC1750" s="1772"/>
    </row>
    <row r="1751" spans="1:29" s="1809" customFormat="1" ht="13.8" x14ac:dyDescent="0.25">
      <c r="A1751" s="1788"/>
      <c r="B1751" s="1788" t="s">
        <v>1155</v>
      </c>
      <c r="C1751" s="1789"/>
      <c r="D1751" s="1789"/>
      <c r="E1751" s="1789">
        <v>30000</v>
      </c>
      <c r="F1751" s="1777">
        <f t="shared" ref="F1751:F1753" si="174">E1751</f>
        <v>30000</v>
      </c>
      <c r="G1751" s="1789"/>
      <c r="H1751" s="2014">
        <v>700</v>
      </c>
      <c r="I1751" s="2014"/>
      <c r="J1751" s="2014"/>
      <c r="P1751" s="1772"/>
      <c r="Q1751" s="1772"/>
      <c r="R1751" s="1772"/>
      <c r="S1751" s="1772"/>
      <c r="T1751" s="1772"/>
      <c r="U1751" s="1772"/>
      <c r="V1751" s="1772"/>
      <c r="W1751" s="1772"/>
      <c r="X1751" s="1772"/>
      <c r="Y1751" s="1772"/>
      <c r="Z1751" s="1772"/>
      <c r="AA1751" s="1772"/>
      <c r="AB1751" s="1772"/>
      <c r="AC1751" s="1772"/>
    </row>
    <row r="1752" spans="1:29" s="1809" customFormat="1" ht="13.8" x14ac:dyDescent="0.25">
      <c r="A1752" s="1788"/>
      <c r="B1752" s="1788"/>
      <c r="C1752" s="1789"/>
      <c r="D1752" s="1789"/>
      <c r="E1752" s="1789"/>
      <c r="F1752" s="1777"/>
      <c r="G1752" s="1789"/>
      <c r="H1752" s="2014">
        <v>700</v>
      </c>
      <c r="I1752" s="2014"/>
      <c r="J1752" s="2014"/>
      <c r="P1752" s="1772"/>
      <c r="Q1752" s="1772"/>
      <c r="R1752" s="1772"/>
      <c r="S1752" s="1772"/>
      <c r="T1752" s="1772"/>
      <c r="U1752" s="1772"/>
      <c r="V1752" s="1772"/>
      <c r="W1752" s="1772"/>
      <c r="X1752" s="1772"/>
      <c r="Y1752" s="1772"/>
      <c r="Z1752" s="1772"/>
      <c r="AA1752" s="1772"/>
      <c r="AB1752" s="1772"/>
      <c r="AC1752" s="1772"/>
    </row>
    <row r="1753" spans="1:29" s="1809" customFormat="1" ht="13.8" x14ac:dyDescent="0.25">
      <c r="A1753" s="1788"/>
      <c r="B1753" s="1788" t="s">
        <v>2285</v>
      </c>
      <c r="C1753" s="1789" t="s">
        <v>981</v>
      </c>
      <c r="D1753" s="1789">
        <v>4</v>
      </c>
      <c r="E1753" s="1789">
        <v>15000</v>
      </c>
      <c r="F1753" s="1777">
        <f t="shared" si="174"/>
        <v>15000</v>
      </c>
      <c r="G1753" s="1789"/>
      <c r="H1753" s="2014"/>
      <c r="I1753" s="2078" t="s">
        <v>2286</v>
      </c>
      <c r="J1753" s="2014">
        <f>1.2*50</f>
        <v>60</v>
      </c>
      <c r="K1753" s="1809">
        <f>J1753*10.76</f>
        <v>645.6</v>
      </c>
      <c r="L1753" s="1809">
        <f>14500/645.6</f>
        <v>22.459727385377942</v>
      </c>
      <c r="P1753" s="1772"/>
      <c r="Q1753" s="1772"/>
      <c r="R1753" s="1772"/>
      <c r="S1753" s="1772"/>
      <c r="T1753" s="1772"/>
      <c r="U1753" s="1772"/>
      <c r="V1753" s="1772"/>
      <c r="W1753" s="1772"/>
      <c r="X1753" s="1772"/>
      <c r="Y1753" s="1772"/>
      <c r="Z1753" s="1772"/>
      <c r="AA1753" s="1772"/>
      <c r="AB1753" s="1772"/>
      <c r="AC1753" s="1772"/>
    </row>
    <row r="1754" spans="1:29" s="1809" customFormat="1" ht="13.8" x14ac:dyDescent="0.25">
      <c r="A1754" s="1788"/>
      <c r="B1754" s="1788"/>
      <c r="C1754" s="1789"/>
      <c r="D1754" s="1789"/>
      <c r="E1754" s="1789"/>
      <c r="F1754" s="1789"/>
      <c r="G1754" s="1789"/>
      <c r="H1754" s="2014"/>
      <c r="I1754" s="2014"/>
      <c r="J1754" s="2014"/>
      <c r="P1754" s="1772"/>
      <c r="Q1754" s="1772"/>
      <c r="R1754" s="1772"/>
      <c r="S1754" s="1772"/>
      <c r="T1754" s="1772"/>
      <c r="U1754" s="1772"/>
      <c r="V1754" s="1772"/>
      <c r="W1754" s="1772"/>
      <c r="X1754" s="1772"/>
      <c r="Y1754" s="1772"/>
      <c r="Z1754" s="1772"/>
      <c r="AA1754" s="1772"/>
      <c r="AB1754" s="1772"/>
      <c r="AC1754" s="1772"/>
    </row>
    <row r="1755" spans="1:29" s="1809" customFormat="1" ht="13.8" x14ac:dyDescent="0.25">
      <c r="A1755" s="1779"/>
      <c r="B1755" s="2723" t="s">
        <v>2112</v>
      </c>
      <c r="C1755" s="2723"/>
      <c r="D1755" s="2723"/>
      <c r="E1755" s="2723"/>
      <c r="F1755" s="1780"/>
      <c r="G1755" s="1781">
        <f>SUM(F1741:F1754)</f>
        <v>328316</v>
      </c>
      <c r="H1755" s="2014"/>
      <c r="I1755" s="2014"/>
      <c r="J1755" s="2014"/>
      <c r="P1755" s="1772"/>
      <c r="Q1755" s="1772"/>
      <c r="R1755" s="1772"/>
      <c r="S1755" s="1772"/>
      <c r="T1755" s="1772"/>
      <c r="U1755" s="1772"/>
      <c r="V1755" s="1772"/>
      <c r="W1755" s="1772"/>
      <c r="X1755" s="1772"/>
      <c r="Y1755" s="1772"/>
      <c r="Z1755" s="1772"/>
      <c r="AA1755" s="1772"/>
      <c r="AB1755" s="1772"/>
      <c r="AC1755" s="1772"/>
    </row>
    <row r="1756" spans="1:29" s="1809" customFormat="1" ht="13.8" x14ac:dyDescent="0.25">
      <c r="A1756" s="1775"/>
      <c r="B1756" s="1778" t="s">
        <v>2098</v>
      </c>
      <c r="C1756" s="1776"/>
      <c r="D1756" s="1777"/>
      <c r="E1756" s="1777"/>
      <c r="F1756" s="1777">
        <f>D1756*E1756</f>
        <v>0</v>
      </c>
      <c r="G1756" s="1777"/>
      <c r="H1756" s="2014"/>
      <c r="I1756" s="2014"/>
      <c r="J1756" s="2014"/>
      <c r="P1756" s="1772"/>
      <c r="Q1756" s="1772"/>
      <c r="R1756" s="1772"/>
      <c r="S1756" s="1772"/>
      <c r="T1756" s="1772"/>
      <c r="U1756" s="1772"/>
      <c r="V1756" s="1772"/>
      <c r="W1756" s="1772"/>
      <c r="X1756" s="1772"/>
      <c r="Y1756" s="1772"/>
      <c r="Z1756" s="1772"/>
      <c r="AA1756" s="1772"/>
      <c r="AB1756" s="1772"/>
      <c r="AC1756" s="1772"/>
    </row>
    <row r="1757" spans="1:29" s="1809" customFormat="1" ht="13.8" x14ac:dyDescent="0.25">
      <c r="A1757" s="1788"/>
      <c r="B1757" s="1823"/>
      <c r="C1757" s="1714"/>
      <c r="D1757" s="1789"/>
      <c r="E1757" s="1789"/>
      <c r="F1757" s="1789"/>
      <c r="G1757" s="1789"/>
      <c r="H1757" s="2014"/>
      <c r="I1757" s="2014"/>
      <c r="J1757" s="2014"/>
      <c r="P1757" s="1772"/>
      <c r="Q1757" s="1772"/>
      <c r="R1757" s="1772"/>
      <c r="S1757" s="1772"/>
      <c r="T1757" s="1772"/>
      <c r="U1757" s="1772"/>
      <c r="V1757" s="1772"/>
      <c r="W1757" s="1772"/>
      <c r="X1757" s="1772"/>
      <c r="Y1757" s="1772"/>
      <c r="Z1757" s="1772"/>
      <c r="AA1757" s="1772"/>
      <c r="AB1757" s="1772"/>
      <c r="AC1757" s="1772"/>
    </row>
    <row r="1758" spans="1:29" s="1809" customFormat="1" ht="13.8" x14ac:dyDescent="0.25">
      <c r="A1758" s="1788"/>
      <c r="B1758" s="1788" t="s">
        <v>2106</v>
      </c>
      <c r="C1758" s="1789" t="s">
        <v>981</v>
      </c>
      <c r="D1758" s="1789">
        <v>40</v>
      </c>
      <c r="E1758" s="1789">
        <v>500</v>
      </c>
      <c r="F1758" s="1789">
        <f>D1758*E1758</f>
        <v>20000</v>
      </c>
      <c r="G1758" s="1789"/>
      <c r="H1758" s="2014"/>
      <c r="I1758" s="2014"/>
      <c r="J1758" s="2014"/>
      <c r="P1758" s="1772"/>
      <c r="Q1758" s="1772"/>
      <c r="R1758" s="1772"/>
      <c r="S1758" s="1772"/>
      <c r="T1758" s="1772"/>
      <c r="U1758" s="1772"/>
      <c r="V1758" s="1772"/>
      <c r="W1758" s="1772"/>
      <c r="X1758" s="1772"/>
      <c r="Y1758" s="1772"/>
      <c r="Z1758" s="1772"/>
      <c r="AA1758" s="1772"/>
      <c r="AB1758" s="1772"/>
      <c r="AC1758" s="1772"/>
    </row>
    <row r="1759" spans="1:29" s="1809" customFormat="1" ht="13.8" x14ac:dyDescent="0.25">
      <c r="A1759" s="1788"/>
      <c r="B1759" s="1788"/>
      <c r="C1759" s="1789"/>
      <c r="D1759" s="1789"/>
      <c r="E1759" s="1789"/>
      <c r="F1759" s="1789"/>
      <c r="G1759" s="1789"/>
      <c r="H1759" s="2014"/>
      <c r="I1759" s="2014"/>
      <c r="J1759" s="2014"/>
      <c r="P1759" s="1772"/>
      <c r="Q1759" s="1772"/>
      <c r="R1759" s="1772"/>
      <c r="S1759" s="1772"/>
      <c r="T1759" s="1772"/>
      <c r="U1759" s="1772"/>
      <c r="V1759" s="1772"/>
      <c r="W1759" s="1772"/>
      <c r="X1759" s="1772"/>
      <c r="Y1759" s="1772"/>
      <c r="Z1759" s="1772"/>
      <c r="AA1759" s="1772"/>
      <c r="AB1759" s="1772"/>
      <c r="AC1759" s="1772"/>
    </row>
    <row r="1760" spans="1:29" s="1809" customFormat="1" ht="13.8" x14ac:dyDescent="0.25">
      <c r="A1760" s="1775"/>
      <c r="B1760" s="1775" t="s">
        <v>2228</v>
      </c>
      <c r="C1760" s="1777"/>
      <c r="D1760" s="1777"/>
      <c r="E1760" s="1777"/>
      <c r="F1760" s="1777">
        <f>F1758*3%</f>
        <v>600</v>
      </c>
      <c r="G1760" s="1777"/>
      <c r="H1760" s="2014"/>
      <c r="I1760" s="2014"/>
      <c r="J1760" s="2014"/>
      <c r="P1760" s="1772"/>
      <c r="Q1760" s="1772"/>
      <c r="R1760" s="1772"/>
      <c r="S1760" s="1772"/>
      <c r="T1760" s="1772"/>
      <c r="U1760" s="1772"/>
      <c r="V1760" s="1772"/>
      <c r="W1760" s="1772"/>
      <c r="X1760" s="1772"/>
      <c r="Y1760" s="1772"/>
      <c r="Z1760" s="1772"/>
      <c r="AA1760" s="1772"/>
      <c r="AB1760" s="1772"/>
      <c r="AC1760" s="1772"/>
    </row>
    <row r="1761" spans="1:7" ht="13.8" x14ac:dyDescent="0.25">
      <c r="A1761" s="1775"/>
      <c r="B1761" s="1775" t="s">
        <v>2232</v>
      </c>
      <c r="C1761" s="1777"/>
      <c r="D1761" s="1777"/>
      <c r="E1761" s="1777"/>
      <c r="F1761" s="1777">
        <f>F1758*5%</f>
        <v>1000</v>
      </c>
      <c r="G1761" s="1777"/>
    </row>
    <row r="1762" spans="1:7" ht="13.8" x14ac:dyDescent="0.25">
      <c r="A1762" s="1775"/>
      <c r="B1762" s="1775"/>
      <c r="C1762" s="1776"/>
      <c r="D1762" s="1777"/>
      <c r="E1762" s="1777"/>
      <c r="F1762" s="1777"/>
      <c r="G1762" s="1777"/>
    </row>
    <row r="1763" spans="1:7" ht="13.8" x14ac:dyDescent="0.25">
      <c r="A1763" s="1779"/>
      <c r="B1763" s="2723" t="s">
        <v>2100</v>
      </c>
      <c r="C1763" s="2723"/>
      <c r="D1763" s="2723"/>
      <c r="E1763" s="2723"/>
      <c r="F1763" s="1780">
        <f>D1763*E1763</f>
        <v>0</v>
      </c>
      <c r="G1763" s="1781">
        <f>SUM(F1758:F1763)</f>
        <v>21600</v>
      </c>
    </row>
    <row r="1764" spans="1:7" ht="13.8" x14ac:dyDescent="0.25">
      <c r="A1764" s="1775"/>
      <c r="B1764" s="1782"/>
      <c r="C1764" s="1782"/>
      <c r="D1764" s="1782"/>
      <c r="E1764" s="1782"/>
      <c r="F1764" s="1777"/>
      <c r="G1764" s="1782"/>
    </row>
    <row r="1765" spans="1:7" ht="13.8" x14ac:dyDescent="0.25">
      <c r="A1765" s="1775"/>
      <c r="B1765" s="1782"/>
      <c r="C1765" s="1782"/>
      <c r="D1765" s="1782"/>
      <c r="E1765" s="1782"/>
      <c r="F1765" s="1777"/>
      <c r="G1765" s="1782"/>
    </row>
    <row r="1766" spans="1:7" ht="13.8" x14ac:dyDescent="0.25">
      <c r="A1766" s="2716" t="s">
        <v>2287</v>
      </c>
      <c r="B1766" s="2716"/>
      <c r="C1766" s="2716"/>
      <c r="D1766" s="2716"/>
      <c r="E1766" s="2716"/>
      <c r="F1766" s="2716"/>
      <c r="G1766" s="1783">
        <f>G1755+G1763</f>
        <v>349916</v>
      </c>
    </row>
    <row r="1767" spans="1:7" ht="13.8" x14ac:dyDescent="0.25">
      <c r="A1767" s="2716" t="s">
        <v>2128</v>
      </c>
      <c r="B1767" s="2716"/>
      <c r="C1767" s="2716"/>
      <c r="D1767" s="2716"/>
      <c r="E1767" s="2716"/>
      <c r="F1767" s="2716"/>
      <c r="G1767" s="1783">
        <f>G1766/16</f>
        <v>21869.75</v>
      </c>
    </row>
    <row r="1768" spans="1:7" ht="13.8" x14ac:dyDescent="0.25">
      <c r="A1768" s="2716" t="s">
        <v>2129</v>
      </c>
      <c r="B1768" s="2716"/>
      <c r="C1768" s="2716"/>
      <c r="D1768" s="2716"/>
      <c r="E1768" s="2716"/>
      <c r="F1768" s="2716"/>
      <c r="G1768" s="1825">
        <f>G1767/10.76</f>
        <v>2032.5046468401488</v>
      </c>
    </row>
    <row r="1770" spans="1:7" ht="13.8" thickBot="1" x14ac:dyDescent="0.3"/>
    <row r="1771" spans="1:7" ht="13.8" x14ac:dyDescent="0.25">
      <c r="A1771" s="2717" t="s">
        <v>2288</v>
      </c>
      <c r="B1771" s="2718"/>
      <c r="C1771" s="2718"/>
      <c r="D1771" s="2718"/>
      <c r="E1771" s="2718"/>
      <c r="F1771" s="2718"/>
      <c r="G1771" s="2719"/>
    </row>
    <row r="1772" spans="1:7" ht="14.4" thickBot="1" x14ac:dyDescent="0.3">
      <c r="A1772" s="2720" t="s">
        <v>2289</v>
      </c>
      <c r="B1772" s="2721"/>
      <c r="C1772" s="2721"/>
      <c r="D1772" s="2721"/>
      <c r="E1772" s="2721"/>
      <c r="F1772" s="2721"/>
      <c r="G1772" s="2722"/>
    </row>
    <row r="1773" spans="1:7" ht="14.4" thickBot="1" x14ac:dyDescent="0.3">
      <c r="A1773" s="1773"/>
      <c r="B1773" s="1774" t="s">
        <v>2094</v>
      </c>
      <c r="C1773" s="1774" t="s">
        <v>2095</v>
      </c>
      <c r="D1773" s="1774" t="s">
        <v>2</v>
      </c>
      <c r="E1773" s="1774" t="s">
        <v>2096</v>
      </c>
      <c r="F1773" s="1774" t="s">
        <v>5</v>
      </c>
      <c r="G1773" s="1774" t="s">
        <v>2097</v>
      </c>
    </row>
    <row r="1774" spans="1:7" ht="13.8" x14ac:dyDescent="0.25">
      <c r="A1774" s="1775"/>
      <c r="B1774" s="1775"/>
      <c r="C1774" s="1776"/>
      <c r="D1774" s="1777"/>
      <c r="E1774" s="1777"/>
      <c r="F1774" s="1777"/>
      <c r="G1774" s="1777"/>
    </row>
    <row r="1775" spans="1:7" ht="13.8" x14ac:dyDescent="0.25">
      <c r="A1775" s="1788"/>
      <c r="B1775" s="1790" t="s">
        <v>2290</v>
      </c>
      <c r="C1775" s="1789" t="s">
        <v>2206</v>
      </c>
      <c r="D1775" s="1789">
        <v>94</v>
      </c>
      <c r="E1775" s="1789">
        <v>1100</v>
      </c>
      <c r="F1775" s="1789">
        <f>D1775*E1775</f>
        <v>103400</v>
      </c>
      <c r="G1775" s="1789"/>
    </row>
    <row r="1776" spans="1:7" ht="13.8" x14ac:dyDescent="0.25">
      <c r="A1776" s="1775"/>
      <c r="B1776" s="1790" t="s">
        <v>2291</v>
      </c>
      <c r="C1776" s="1777" t="s">
        <v>2206</v>
      </c>
      <c r="D1776" s="1777">
        <v>47</v>
      </c>
      <c r="E1776" s="1777">
        <v>2500</v>
      </c>
      <c r="F1776" s="1789">
        <f t="shared" ref="F1776:F1792" si="175">D1776*E1776</f>
        <v>117500</v>
      </c>
      <c r="G1776" s="1777"/>
    </row>
    <row r="1777" spans="1:7" ht="13.8" x14ac:dyDescent="0.25">
      <c r="A1777" s="1775"/>
      <c r="B1777" s="1790" t="s">
        <v>2292</v>
      </c>
      <c r="C1777" s="1777" t="s">
        <v>2206</v>
      </c>
      <c r="D1777" s="1777">
        <v>665</v>
      </c>
      <c r="E1777" s="1777">
        <v>750</v>
      </c>
      <c r="F1777" s="1789">
        <f t="shared" si="175"/>
        <v>498750</v>
      </c>
      <c r="G1777" s="1777"/>
    </row>
    <row r="1778" spans="1:7" ht="13.8" x14ac:dyDescent="0.25">
      <c r="A1778" s="1775"/>
      <c r="B1778" s="1790" t="s">
        <v>2293</v>
      </c>
      <c r="C1778" s="1777" t="s">
        <v>2206</v>
      </c>
      <c r="D1778" s="1777">
        <v>658</v>
      </c>
      <c r="E1778" s="1777">
        <v>180</v>
      </c>
      <c r="F1778" s="1789">
        <f t="shared" si="175"/>
        <v>118440</v>
      </c>
      <c r="G1778" s="1777"/>
    </row>
    <row r="1779" spans="1:7" ht="13.8" x14ac:dyDescent="0.25">
      <c r="A1779" s="1775"/>
      <c r="B1779" s="1790" t="s">
        <v>2294</v>
      </c>
      <c r="C1779" s="1777" t="s">
        <v>2206</v>
      </c>
      <c r="D1779" s="1777">
        <v>94</v>
      </c>
      <c r="E1779" s="1777">
        <v>750</v>
      </c>
      <c r="F1779" s="1789">
        <f t="shared" si="175"/>
        <v>70500</v>
      </c>
      <c r="G1779" s="1777"/>
    </row>
    <row r="1780" spans="1:7" ht="13.8" x14ac:dyDescent="0.25">
      <c r="A1780" s="1775"/>
      <c r="B1780" s="1790" t="s">
        <v>2295</v>
      </c>
      <c r="C1780" s="1777" t="s">
        <v>2206</v>
      </c>
      <c r="D1780" s="1777">
        <v>54</v>
      </c>
      <c r="E1780" s="1777">
        <v>750</v>
      </c>
      <c r="F1780" s="1789">
        <f t="shared" si="175"/>
        <v>40500</v>
      </c>
      <c r="G1780" s="1777"/>
    </row>
    <row r="1781" spans="1:7" ht="13.8" x14ac:dyDescent="0.25">
      <c r="A1781" s="1775"/>
      <c r="B1781" s="1790" t="s">
        <v>2296</v>
      </c>
      <c r="C1781" s="1777" t="s">
        <v>2126</v>
      </c>
      <c r="D1781" s="1777">
        <v>1248.05</v>
      </c>
      <c r="E1781" s="1789">
        <v>25</v>
      </c>
      <c r="F1781" s="1789">
        <f t="shared" si="175"/>
        <v>31201.25</v>
      </c>
      <c r="G1781" s="1777"/>
    </row>
    <row r="1782" spans="1:7" ht="13.8" x14ac:dyDescent="0.25">
      <c r="A1782" s="1775"/>
      <c r="B1782" s="1790" t="s">
        <v>2297</v>
      </c>
      <c r="C1782" s="1777" t="s">
        <v>2126</v>
      </c>
      <c r="D1782" s="1777">
        <v>1248.05</v>
      </c>
      <c r="E1782" s="1777">
        <f>170*1.25</f>
        <v>212.5</v>
      </c>
      <c r="F1782" s="1789">
        <f t="shared" si="175"/>
        <v>265210.625</v>
      </c>
      <c r="G1782" s="1777"/>
    </row>
    <row r="1783" spans="1:7" ht="13.8" x14ac:dyDescent="0.25">
      <c r="A1783" s="1775"/>
      <c r="B1783" s="1790" t="s">
        <v>2298</v>
      </c>
      <c r="C1783" s="1777" t="s">
        <v>2126</v>
      </c>
      <c r="D1783" s="1777">
        <v>1248.05</v>
      </c>
      <c r="E1783" s="1777">
        <v>215</v>
      </c>
      <c r="F1783" s="1789">
        <f t="shared" si="175"/>
        <v>268330.75</v>
      </c>
      <c r="G1783" s="1777"/>
    </row>
    <row r="1784" spans="1:7" ht="13.8" x14ac:dyDescent="0.25">
      <c r="A1784" s="1775"/>
      <c r="B1784" s="1790" t="s">
        <v>2299</v>
      </c>
      <c r="C1784" s="1777" t="s">
        <v>2126</v>
      </c>
      <c r="D1784" s="1777">
        <f>2995</f>
        <v>2995</v>
      </c>
      <c r="E1784" s="1777">
        <v>45</v>
      </c>
      <c r="F1784" s="1789">
        <f t="shared" si="175"/>
        <v>134775</v>
      </c>
      <c r="G1784" s="1777"/>
    </row>
    <row r="1785" spans="1:7" ht="13.8" x14ac:dyDescent="0.25">
      <c r="A1785" s="1775"/>
      <c r="B1785" s="1790" t="s">
        <v>2300</v>
      </c>
      <c r="C1785" s="1777" t="s">
        <v>2206</v>
      </c>
      <c r="D1785" s="1777">
        <v>57</v>
      </c>
      <c r="E1785" s="1777">
        <v>419</v>
      </c>
      <c r="F1785" s="1789">
        <f t="shared" si="175"/>
        <v>23883</v>
      </c>
      <c r="G1785" s="1777"/>
    </row>
    <row r="1786" spans="1:7" ht="13.8" x14ac:dyDescent="0.25">
      <c r="A1786" s="1775"/>
      <c r="B1786" s="1790"/>
      <c r="C1786" s="1777"/>
      <c r="D1786" s="1777"/>
      <c r="E1786" s="1777"/>
      <c r="F1786" s="1789">
        <f t="shared" si="175"/>
        <v>0</v>
      </c>
      <c r="G1786" s="1777"/>
    </row>
    <row r="1787" spans="1:7" ht="13.8" x14ac:dyDescent="0.25">
      <c r="A1787" s="1775"/>
      <c r="B1787" s="1790"/>
      <c r="C1787" s="1777"/>
      <c r="D1787" s="1777"/>
      <c r="E1787" s="1777"/>
      <c r="F1787" s="1789"/>
      <c r="G1787" s="1777"/>
    </row>
    <row r="1788" spans="1:7" ht="13.8" x14ac:dyDescent="0.25">
      <c r="A1788" s="1775"/>
      <c r="B1788" s="1790"/>
      <c r="C1788" s="1777"/>
      <c r="D1788" s="1777"/>
      <c r="E1788" s="1777"/>
      <c r="F1788" s="1789"/>
      <c r="G1788" s="1777"/>
    </row>
    <row r="1789" spans="1:7" ht="13.8" x14ac:dyDescent="0.25">
      <c r="A1789" s="1775"/>
      <c r="B1789" s="1790"/>
      <c r="C1789" s="1777"/>
      <c r="D1789" s="1777"/>
      <c r="E1789" s="1777"/>
      <c r="F1789" s="1789"/>
      <c r="G1789" s="1777"/>
    </row>
    <row r="1790" spans="1:7" ht="13.8" x14ac:dyDescent="0.25">
      <c r="A1790" s="1775"/>
      <c r="B1790" s="1790" t="s">
        <v>2301</v>
      </c>
      <c r="C1790" s="1777" t="s">
        <v>2126</v>
      </c>
      <c r="D1790" s="1777">
        <v>2451.34</v>
      </c>
      <c r="E1790" s="1777">
        <v>300</v>
      </c>
      <c r="F1790" s="1789">
        <f t="shared" si="175"/>
        <v>735402</v>
      </c>
      <c r="G1790" s="1777"/>
    </row>
    <row r="1791" spans="1:7" ht="13.8" x14ac:dyDescent="0.25">
      <c r="A1791" s="1775"/>
      <c r="B1791" s="1790"/>
      <c r="C1791" s="1777"/>
      <c r="D1791" s="1777"/>
      <c r="E1791" s="1777"/>
      <c r="F1791" s="1789">
        <f t="shared" si="175"/>
        <v>0</v>
      </c>
      <c r="G1791" s="1777"/>
    </row>
    <row r="1792" spans="1:7" ht="13.8" x14ac:dyDescent="0.25">
      <c r="A1792" s="1775"/>
      <c r="B1792" s="1790"/>
      <c r="C1792" s="1777"/>
      <c r="D1792" s="1777"/>
      <c r="E1792" s="1777"/>
      <c r="F1792" s="1789">
        <f t="shared" si="175"/>
        <v>0</v>
      </c>
      <c r="G1792" s="1777"/>
    </row>
    <row r="1793" spans="1:7" ht="13.8" x14ac:dyDescent="0.25">
      <c r="A1793" s="1775"/>
      <c r="B1793" s="1776" t="s">
        <v>2251</v>
      </c>
      <c r="C1793" s="1777"/>
      <c r="D1793" s="1777"/>
      <c r="E1793" s="1777"/>
      <c r="F1793" s="1777">
        <v>35000</v>
      </c>
      <c r="G1793" s="1777"/>
    </row>
    <row r="1794" spans="1:7" ht="13.8" x14ac:dyDescent="0.25">
      <c r="A1794" s="1775"/>
      <c r="B1794" s="1775"/>
      <c r="C1794" s="1776"/>
      <c r="D1794" s="1777"/>
      <c r="E1794" s="1777"/>
      <c r="F1794" s="1777">
        <f t="shared" ref="F1794" si="176">D1794*E1794</f>
        <v>0</v>
      </c>
      <c r="G1794" s="1777"/>
    </row>
    <row r="1795" spans="1:7" ht="13.8" x14ac:dyDescent="0.25">
      <c r="A1795" s="1779"/>
      <c r="B1795" s="2723" t="s">
        <v>2112</v>
      </c>
      <c r="C1795" s="2723"/>
      <c r="D1795" s="2723"/>
      <c r="E1795" s="2723"/>
      <c r="F1795" s="1780"/>
      <c r="G1795" s="1781">
        <f>SUM(F1775:F1795)</f>
        <v>2442892.625</v>
      </c>
    </row>
    <row r="1796" spans="1:7" ht="13.8" x14ac:dyDescent="0.25">
      <c r="A1796" s="1775"/>
      <c r="B1796" s="1778" t="s">
        <v>2098</v>
      </c>
      <c r="C1796" s="1776"/>
      <c r="D1796" s="1777"/>
      <c r="E1796" s="1777"/>
      <c r="F1796" s="1777">
        <f t="shared" ref="F1796:F1797" si="177">D1796*E1796</f>
        <v>0</v>
      </c>
      <c r="G1796" s="1777"/>
    </row>
    <row r="1797" spans="1:7" ht="13.8" x14ac:dyDescent="0.25">
      <c r="A1797" s="1788"/>
      <c r="B1797" s="1788" t="s">
        <v>2106</v>
      </c>
      <c r="C1797" s="1789" t="s">
        <v>2126</v>
      </c>
      <c r="D1797" s="1789">
        <v>1248.05</v>
      </c>
      <c r="E1797" s="1789">
        <v>300</v>
      </c>
      <c r="F1797" s="1789">
        <f t="shared" si="177"/>
        <v>374415</v>
      </c>
      <c r="G1797" s="1789"/>
    </row>
    <row r="1798" spans="1:7" ht="13.8" x14ac:dyDescent="0.25">
      <c r="A1798" s="1788"/>
      <c r="B1798" s="1788"/>
      <c r="C1798" s="1789"/>
      <c r="D1798" s="1789"/>
      <c r="E1798" s="1789"/>
      <c r="F1798" s="1789"/>
      <c r="G1798" s="1789"/>
    </row>
    <row r="1799" spans="1:7" ht="13.8" x14ac:dyDescent="0.25">
      <c r="A1799" s="1775"/>
      <c r="B1799" s="1775"/>
      <c r="C1799" s="1777"/>
      <c r="D1799" s="1777"/>
      <c r="E1799" s="1777"/>
      <c r="F1799" s="1777"/>
      <c r="G1799" s="1777"/>
    </row>
    <row r="1800" spans="1:7" ht="13.8" x14ac:dyDescent="0.25">
      <c r="A1800" s="1775"/>
      <c r="B1800" s="1775" t="s">
        <v>2302</v>
      </c>
      <c r="C1800" s="1777"/>
      <c r="D1800" s="1777"/>
      <c r="E1800" s="1777"/>
      <c r="F1800" s="1777">
        <f>F1797*3%</f>
        <v>11232.449999999999</v>
      </c>
      <c r="G1800" s="1777"/>
    </row>
    <row r="1801" spans="1:7" ht="13.8" x14ac:dyDescent="0.25">
      <c r="A1801" s="1775"/>
      <c r="B1801" s="1775" t="s">
        <v>2267</v>
      </c>
      <c r="C1801" s="1776"/>
      <c r="D1801" s="1777"/>
      <c r="E1801" s="1777"/>
      <c r="F1801" s="1777">
        <f>F1797*5%</f>
        <v>18720.75</v>
      </c>
      <c r="G1801" s="1777"/>
    </row>
    <row r="1802" spans="1:7" ht="13.8" x14ac:dyDescent="0.25">
      <c r="A1802" s="1779"/>
      <c r="B1802" s="2723" t="s">
        <v>2100</v>
      </c>
      <c r="C1802" s="2723"/>
      <c r="D1802" s="2723"/>
      <c r="E1802" s="2723"/>
      <c r="F1802" s="1780">
        <f t="shared" ref="F1802" si="178">D1802*E1802</f>
        <v>0</v>
      </c>
      <c r="G1802" s="1781">
        <f>SUM(F1797:F1802)</f>
        <v>404368.2</v>
      </c>
    </row>
    <row r="1803" spans="1:7" ht="13.8" x14ac:dyDescent="0.25">
      <c r="A1803" s="1775"/>
      <c r="B1803" s="1782"/>
      <c r="C1803" s="1782"/>
      <c r="D1803" s="1782"/>
      <c r="E1803" s="1782"/>
      <c r="F1803" s="1777"/>
      <c r="G1803" s="1782"/>
    </row>
    <row r="1804" spans="1:7" ht="13.8" x14ac:dyDescent="0.25">
      <c r="A1804" s="1775"/>
      <c r="B1804" s="1782"/>
      <c r="C1804" s="1782"/>
      <c r="D1804" s="1782"/>
      <c r="E1804" s="1782"/>
      <c r="F1804" s="1777"/>
      <c r="G1804" s="1782"/>
    </row>
    <row r="1805" spans="1:7" ht="13.8" x14ac:dyDescent="0.25">
      <c r="A1805" s="2716" t="s">
        <v>2303</v>
      </c>
      <c r="B1805" s="2716"/>
      <c r="C1805" s="2716"/>
      <c r="D1805" s="2716"/>
      <c r="E1805" s="2716"/>
      <c r="F1805" s="2716"/>
      <c r="G1805" s="1824">
        <f>G1795+G1802</f>
        <v>2847260.8250000002</v>
      </c>
    </row>
    <row r="1806" spans="1:7" ht="13.8" x14ac:dyDescent="0.25">
      <c r="A1806" s="2716" t="s">
        <v>2127</v>
      </c>
      <c r="B1806" s="2716"/>
      <c r="C1806" s="2716"/>
      <c r="D1806" s="2716"/>
      <c r="E1806" s="2716"/>
      <c r="F1806" s="2716"/>
      <c r="G1806" s="1824">
        <f>G1805/12.48</f>
        <v>228145.89943910256</v>
      </c>
    </row>
    <row r="1807" spans="1:7" ht="13.8" x14ac:dyDescent="0.25">
      <c r="A1807" s="2716" t="s">
        <v>2128</v>
      </c>
      <c r="B1807" s="2716"/>
      <c r="C1807" s="2716"/>
      <c r="D1807" s="2716"/>
      <c r="E1807" s="2716"/>
      <c r="F1807" s="2716"/>
      <c r="G1807" s="1835">
        <f>G1806/9.29</f>
        <v>24558.223836286608</v>
      </c>
    </row>
    <row r="1808" spans="1:7" ht="13.8" x14ac:dyDescent="0.25">
      <c r="A1808" s="2716" t="s">
        <v>2129</v>
      </c>
      <c r="B1808" s="2716"/>
      <c r="C1808" s="2716"/>
      <c r="D1808" s="2716"/>
      <c r="E1808" s="2716"/>
      <c r="F1808" s="2716"/>
      <c r="G1808" s="1836">
        <f>G1807/10.76</f>
        <v>2282.3628100638111</v>
      </c>
    </row>
    <row r="1811" spans="1:7" ht="13.8" thickBot="1" x14ac:dyDescent="0.3"/>
    <row r="1812" spans="1:7" ht="13.8" x14ac:dyDescent="0.25">
      <c r="A1812" s="2717" t="s">
        <v>2304</v>
      </c>
      <c r="B1812" s="2718"/>
      <c r="C1812" s="2718"/>
      <c r="D1812" s="2718"/>
      <c r="E1812" s="2718"/>
      <c r="F1812" s="2718"/>
      <c r="G1812" s="2719"/>
    </row>
    <row r="1813" spans="1:7" ht="14.4" thickBot="1" x14ac:dyDescent="0.3">
      <c r="A1813" s="2720" t="s">
        <v>2280</v>
      </c>
      <c r="B1813" s="2721"/>
      <c r="C1813" s="2721"/>
      <c r="D1813" s="2721"/>
      <c r="E1813" s="2721"/>
      <c r="F1813" s="2721"/>
      <c r="G1813" s="2722"/>
    </row>
    <row r="1814" spans="1:7" ht="14.4" thickBot="1" x14ac:dyDescent="0.3">
      <c r="A1814" s="1773"/>
      <c r="B1814" s="1774" t="s">
        <v>2094</v>
      </c>
      <c r="C1814" s="1774" t="s">
        <v>2095</v>
      </c>
      <c r="D1814" s="1774" t="s">
        <v>2</v>
      </c>
      <c r="E1814" s="1774" t="s">
        <v>2096</v>
      </c>
      <c r="F1814" s="1774" t="s">
        <v>5</v>
      </c>
      <c r="G1814" s="1774" t="s">
        <v>2097</v>
      </c>
    </row>
    <row r="1815" spans="1:7" ht="13.8" x14ac:dyDescent="0.25">
      <c r="A1815" s="1775"/>
      <c r="B1815" s="1775"/>
      <c r="C1815" s="1776"/>
      <c r="D1815" s="1777"/>
      <c r="E1815" s="1777"/>
      <c r="F1815" s="1777"/>
      <c r="G1815" s="1777"/>
    </row>
    <row r="1816" spans="1:7" ht="13.8" x14ac:dyDescent="0.25">
      <c r="A1816" s="1775"/>
      <c r="B1816" s="1778" t="s">
        <v>2111</v>
      </c>
      <c r="C1816" s="1776"/>
      <c r="D1816" s="1777"/>
      <c r="E1816" s="1777"/>
      <c r="F1816" s="1777"/>
      <c r="G1816" s="1777"/>
    </row>
    <row r="1817" spans="1:7" ht="13.8" x14ac:dyDescent="0.25">
      <c r="A1817" s="1775"/>
      <c r="B1817" s="1775" t="s">
        <v>2281</v>
      </c>
      <c r="C1817" s="1777" t="s">
        <v>981</v>
      </c>
      <c r="D1817" s="1777">
        <v>40</v>
      </c>
      <c r="E1817" s="1777">
        <f>2012.5*4</f>
        <v>8050</v>
      </c>
      <c r="F1817" s="1777">
        <f>D1817*E1817</f>
        <v>322000</v>
      </c>
      <c r="G1817" s="1777"/>
    </row>
    <row r="1818" spans="1:7" ht="13.8" x14ac:dyDescent="0.25">
      <c r="A1818" s="1788"/>
      <c r="B1818" s="1788"/>
      <c r="C1818" s="1789"/>
      <c r="D1818" s="1789"/>
      <c r="E1818" s="1789">
        <f>+F1750</f>
        <v>0</v>
      </c>
      <c r="F1818" s="1789">
        <f t="shared" ref="F1818" si="179">D1818*E1818</f>
        <v>0</v>
      </c>
      <c r="G1818" s="1789"/>
    </row>
    <row r="1819" spans="1:7" ht="13.8" x14ac:dyDescent="0.25">
      <c r="A1819" s="1788"/>
      <c r="B1819" s="1788" t="s">
        <v>2282</v>
      </c>
      <c r="C1819" s="1789" t="s">
        <v>2250</v>
      </c>
      <c r="D1819" s="1789"/>
      <c r="E1819" s="1789">
        <v>15000</v>
      </c>
      <c r="F1819" s="1789">
        <f>E1819</f>
        <v>15000</v>
      </c>
      <c r="G1819" s="1789"/>
    </row>
    <row r="1820" spans="1:7" ht="13.8" x14ac:dyDescent="0.25">
      <c r="A1820" s="1788"/>
      <c r="B1820" s="1714"/>
      <c r="C1820" s="1789"/>
      <c r="D1820" s="1789"/>
      <c r="E1820" s="1789">
        <f>+[20]Material!D779</f>
        <v>0</v>
      </c>
      <c r="F1820" s="1789">
        <f t="shared" ref="F1820" si="180">E1820</f>
        <v>0</v>
      </c>
      <c r="G1820" s="1789"/>
    </row>
    <row r="1821" spans="1:7" ht="13.8" x14ac:dyDescent="0.25">
      <c r="A1821" s="1788"/>
      <c r="B1821" s="1788" t="s">
        <v>2283</v>
      </c>
      <c r="C1821" s="1789" t="s">
        <v>1064</v>
      </c>
      <c r="D1821" s="1789">
        <v>525</v>
      </c>
      <c r="E1821" s="1789">
        <v>450</v>
      </c>
      <c r="F1821" s="1789">
        <f>D1821*E1821</f>
        <v>236250</v>
      </c>
      <c r="G1821" s="1789"/>
    </row>
    <row r="1822" spans="1:7" ht="13.8" x14ac:dyDescent="0.25">
      <c r="A1822" s="1788"/>
      <c r="B1822" s="1788"/>
      <c r="C1822" s="1789"/>
      <c r="D1822" s="1789"/>
      <c r="E1822" s="1789"/>
      <c r="F1822" s="1789"/>
      <c r="G1822" s="1789"/>
    </row>
    <row r="1823" spans="1:7" ht="13.8" x14ac:dyDescent="0.25">
      <c r="A1823" s="1788"/>
      <c r="B1823" s="1788" t="s">
        <v>1155</v>
      </c>
      <c r="C1823" s="1789"/>
      <c r="D1823" s="1789"/>
      <c r="E1823" s="1789">
        <v>30000</v>
      </c>
      <c r="F1823" s="1777">
        <f t="shared" ref="F1823:F1825" si="181">E1823</f>
        <v>30000</v>
      </c>
      <c r="G1823" s="1789"/>
    </row>
    <row r="1824" spans="1:7" ht="13.8" x14ac:dyDescent="0.25">
      <c r="A1824" s="1788"/>
      <c r="B1824" s="1788"/>
      <c r="C1824" s="1789"/>
      <c r="D1824" s="1789"/>
      <c r="E1824" s="1789"/>
      <c r="F1824" s="1777"/>
      <c r="G1824" s="1789"/>
    </row>
    <row r="1825" spans="1:7" ht="13.8" x14ac:dyDescent="0.25">
      <c r="A1825" s="1788"/>
      <c r="B1825" s="1788" t="s">
        <v>2285</v>
      </c>
      <c r="C1825" s="1789" t="s">
        <v>981</v>
      </c>
      <c r="D1825" s="1789">
        <v>4</v>
      </c>
      <c r="E1825" s="1789">
        <v>15000</v>
      </c>
      <c r="F1825" s="1777">
        <f t="shared" si="181"/>
        <v>15000</v>
      </c>
      <c r="G1825" s="1789"/>
    </row>
    <row r="1826" spans="1:7" ht="13.8" x14ac:dyDescent="0.25">
      <c r="A1826" s="1788"/>
      <c r="B1826" s="1788"/>
      <c r="C1826" s="1789"/>
      <c r="D1826" s="1789"/>
      <c r="E1826" s="1789"/>
      <c r="F1826" s="1789"/>
      <c r="G1826" s="1789"/>
    </row>
    <row r="1827" spans="1:7" ht="13.8" x14ac:dyDescent="0.25">
      <c r="A1827" s="1779"/>
      <c r="B1827" s="2723" t="s">
        <v>2112</v>
      </c>
      <c r="C1827" s="2723"/>
      <c r="D1827" s="2723"/>
      <c r="E1827" s="2723"/>
      <c r="F1827" s="1780"/>
      <c r="G1827" s="1781">
        <f>SUM(F1815:F1826)</f>
        <v>618250</v>
      </c>
    </row>
    <row r="1828" spans="1:7" ht="13.8" x14ac:dyDescent="0.25">
      <c r="A1828" s="1775"/>
      <c r="B1828" s="1778" t="s">
        <v>2098</v>
      </c>
      <c r="C1828" s="1776"/>
      <c r="D1828" s="1777"/>
      <c r="E1828" s="1777"/>
      <c r="F1828" s="1777">
        <f>D1828*E1828</f>
        <v>0</v>
      </c>
      <c r="G1828" s="1777"/>
    </row>
    <row r="1829" spans="1:7" ht="13.8" x14ac:dyDescent="0.25">
      <c r="A1829" s="1788"/>
      <c r="B1829" s="1823"/>
      <c r="C1829" s="1714"/>
      <c r="D1829" s="1789"/>
      <c r="E1829" s="1789"/>
      <c r="F1829" s="1789"/>
      <c r="G1829" s="1789"/>
    </row>
    <row r="1830" spans="1:7" ht="13.8" x14ac:dyDescent="0.25">
      <c r="A1830" s="1788"/>
      <c r="B1830" s="1788" t="s">
        <v>2106</v>
      </c>
      <c r="C1830" s="1789" t="s">
        <v>981</v>
      </c>
      <c r="D1830" s="1789">
        <v>40</v>
      </c>
      <c r="E1830" s="1789">
        <v>500</v>
      </c>
      <c r="F1830" s="1789">
        <f>D1830*E1830</f>
        <v>20000</v>
      </c>
      <c r="G1830" s="1789"/>
    </row>
    <row r="1831" spans="1:7" ht="13.8" x14ac:dyDescent="0.25">
      <c r="A1831" s="1788"/>
      <c r="B1831" s="1788"/>
      <c r="C1831" s="1789"/>
      <c r="D1831" s="1789"/>
      <c r="E1831" s="1789"/>
      <c r="F1831" s="1789"/>
      <c r="G1831" s="1789"/>
    </row>
    <row r="1832" spans="1:7" ht="13.8" x14ac:dyDescent="0.25">
      <c r="A1832" s="1775"/>
      <c r="B1832" s="1775" t="s">
        <v>2228</v>
      </c>
      <c r="C1832" s="1777"/>
      <c r="D1832" s="1777"/>
      <c r="E1832" s="1777"/>
      <c r="F1832" s="1777">
        <f>F1830*3%</f>
        <v>600</v>
      </c>
      <c r="G1832" s="1777"/>
    </row>
    <row r="1833" spans="1:7" ht="13.8" x14ac:dyDescent="0.25">
      <c r="A1833" s="1775"/>
      <c r="B1833" s="1775" t="s">
        <v>2232</v>
      </c>
      <c r="C1833" s="1777"/>
      <c r="D1833" s="1777"/>
      <c r="E1833" s="1777"/>
      <c r="F1833" s="1777">
        <f>F1830*5%</f>
        <v>1000</v>
      </c>
      <c r="G1833" s="1777"/>
    </row>
    <row r="1834" spans="1:7" ht="13.8" x14ac:dyDescent="0.25">
      <c r="A1834" s="1775"/>
      <c r="B1834" s="1775"/>
      <c r="C1834" s="1776"/>
      <c r="D1834" s="1777"/>
      <c r="E1834" s="1777"/>
      <c r="F1834" s="1777"/>
      <c r="G1834" s="1777"/>
    </row>
    <row r="1835" spans="1:7" ht="13.8" x14ac:dyDescent="0.25">
      <c r="A1835" s="1779"/>
      <c r="B1835" s="2723" t="s">
        <v>2100</v>
      </c>
      <c r="C1835" s="2723"/>
      <c r="D1835" s="2723"/>
      <c r="E1835" s="2723"/>
      <c r="F1835" s="1780">
        <f>D1835*E1835</f>
        <v>0</v>
      </c>
      <c r="G1835" s="1781">
        <f>SUM(F1830:F1835)</f>
        <v>21600</v>
      </c>
    </row>
    <row r="1836" spans="1:7" ht="13.8" x14ac:dyDescent="0.25">
      <c r="A1836" s="1775"/>
      <c r="B1836" s="1782"/>
      <c r="C1836" s="1782"/>
      <c r="D1836" s="1782"/>
      <c r="E1836" s="1782"/>
      <c r="F1836" s="1777"/>
      <c r="G1836" s="1782"/>
    </row>
    <row r="1837" spans="1:7" ht="13.8" x14ac:dyDescent="0.25">
      <c r="A1837" s="1775"/>
      <c r="B1837" s="1782"/>
      <c r="C1837" s="1782"/>
      <c r="D1837" s="1782"/>
      <c r="E1837" s="1782"/>
      <c r="F1837" s="1777"/>
      <c r="G1837" s="1782"/>
    </row>
    <row r="1838" spans="1:7" ht="13.8" x14ac:dyDescent="0.25">
      <c r="A1838" s="2716" t="s">
        <v>2287</v>
      </c>
      <c r="B1838" s="2716"/>
      <c r="C1838" s="2716"/>
      <c r="D1838" s="2716"/>
      <c r="E1838" s="2716"/>
      <c r="F1838" s="2716"/>
      <c r="G1838" s="1783">
        <f>G1827+G1835</f>
        <v>639850</v>
      </c>
    </row>
    <row r="1839" spans="1:7" ht="13.8" x14ac:dyDescent="0.25">
      <c r="A1839" s="2716" t="s">
        <v>2128</v>
      </c>
      <c r="B1839" s="2716"/>
      <c r="C1839" s="2716"/>
      <c r="D1839" s="2716"/>
      <c r="E1839" s="2716"/>
      <c r="F1839" s="2716"/>
      <c r="G1839" s="1783">
        <f>G1838/16</f>
        <v>39990.625</v>
      </c>
    </row>
    <row r="1840" spans="1:7" ht="13.8" x14ac:dyDescent="0.25">
      <c r="A1840" s="2716" t="s">
        <v>2129</v>
      </c>
      <c r="B1840" s="2716"/>
      <c r="C1840" s="2716"/>
      <c r="D1840" s="2716"/>
      <c r="E1840" s="2716"/>
      <c r="F1840" s="2716"/>
      <c r="G1840" s="1825">
        <f>G1839/10.76</f>
        <v>3716.600836431227</v>
      </c>
    </row>
    <row r="1843" spans="1:7" ht="13.8" thickBot="1" x14ac:dyDescent="0.3"/>
    <row r="1844" spans="1:7" ht="13.8" x14ac:dyDescent="0.25">
      <c r="A1844" s="2717" t="s">
        <v>2304</v>
      </c>
      <c r="B1844" s="2718"/>
      <c r="C1844" s="2718"/>
      <c r="D1844" s="2718"/>
      <c r="E1844" s="2718"/>
      <c r="F1844" s="2718"/>
      <c r="G1844" s="2719"/>
    </row>
    <row r="1845" spans="1:7" ht="14.4" thickBot="1" x14ac:dyDescent="0.3">
      <c r="A1845" s="2720" t="s">
        <v>2280</v>
      </c>
      <c r="B1845" s="2721"/>
      <c r="C1845" s="2721"/>
      <c r="D1845" s="2721"/>
      <c r="E1845" s="2721"/>
      <c r="F1845" s="2721"/>
      <c r="G1845" s="2722"/>
    </row>
    <row r="1846" spans="1:7" ht="14.4" thickBot="1" x14ac:dyDescent="0.3">
      <c r="A1846" s="1773"/>
      <c r="B1846" s="1774" t="s">
        <v>2094</v>
      </c>
      <c r="C1846" s="1774" t="s">
        <v>2095</v>
      </c>
      <c r="D1846" s="1774" t="s">
        <v>2</v>
      </c>
      <c r="E1846" s="1774" t="s">
        <v>2096</v>
      </c>
      <c r="F1846" s="1774" t="s">
        <v>5</v>
      </c>
      <c r="G1846" s="1774" t="s">
        <v>2097</v>
      </c>
    </row>
    <row r="1847" spans="1:7" ht="13.8" x14ac:dyDescent="0.25">
      <c r="A1847" s="1775"/>
      <c r="B1847" s="1775"/>
      <c r="C1847" s="1776"/>
      <c r="D1847" s="1777"/>
      <c r="E1847" s="1777"/>
      <c r="F1847" s="1777"/>
      <c r="G1847" s="1777"/>
    </row>
    <row r="1848" spans="1:7" ht="13.8" x14ac:dyDescent="0.25">
      <c r="A1848" s="1775"/>
      <c r="B1848" s="1778" t="s">
        <v>2111</v>
      </c>
      <c r="C1848" s="1776"/>
      <c r="D1848" s="1777"/>
      <c r="E1848" s="1777"/>
      <c r="F1848" s="1777"/>
      <c r="G1848" s="1777"/>
    </row>
    <row r="1849" spans="1:7" ht="13.8" x14ac:dyDescent="0.25">
      <c r="A1849" s="1775"/>
      <c r="B1849" s="1775" t="s">
        <v>2281</v>
      </c>
      <c r="C1849" s="1777" t="s">
        <v>981</v>
      </c>
      <c r="D1849" s="1777">
        <v>40</v>
      </c>
      <c r="E1849" s="1777">
        <f>2012.5*4</f>
        <v>8050</v>
      </c>
      <c r="F1849" s="1777">
        <f>D1849*E1849</f>
        <v>322000</v>
      </c>
      <c r="G1849" s="1777"/>
    </row>
    <row r="1850" spans="1:7" ht="13.8" x14ac:dyDescent="0.25">
      <c r="A1850" s="1788"/>
      <c r="B1850" s="1788"/>
      <c r="C1850" s="1789"/>
      <c r="D1850" s="1789"/>
      <c r="E1850" s="1789"/>
      <c r="F1850" s="1789">
        <f t="shared" ref="F1850" si="182">D1850*E1850</f>
        <v>0</v>
      </c>
      <c r="G1850" s="1789"/>
    </row>
    <row r="1851" spans="1:7" ht="13.8" x14ac:dyDescent="0.25">
      <c r="A1851" s="1788"/>
      <c r="B1851" s="1788" t="s">
        <v>2282</v>
      </c>
      <c r="C1851" s="1789" t="s">
        <v>2250</v>
      </c>
      <c r="D1851" s="1789"/>
      <c r="E1851" s="1789">
        <v>15000</v>
      </c>
      <c r="F1851" s="1789">
        <f>E1851</f>
        <v>15000</v>
      </c>
      <c r="G1851" s="1789"/>
    </row>
    <row r="1852" spans="1:7" ht="13.8" x14ac:dyDescent="0.25">
      <c r="A1852" s="1788"/>
      <c r="B1852" s="1714"/>
      <c r="C1852" s="1789"/>
      <c r="D1852" s="1789"/>
      <c r="E1852" s="1789"/>
      <c r="F1852" s="1789"/>
      <c r="G1852" s="1789"/>
    </row>
    <row r="1853" spans="1:7" ht="13.8" x14ac:dyDescent="0.25">
      <c r="A1853" s="1788"/>
      <c r="B1853" s="1788" t="s">
        <v>2283</v>
      </c>
      <c r="C1853" s="1789" t="s">
        <v>1064</v>
      </c>
      <c r="D1853" s="1789">
        <v>525</v>
      </c>
      <c r="E1853" s="1789">
        <f>G1582</f>
        <v>159.79427853429959</v>
      </c>
      <c r="F1853" s="1789">
        <f>D1853*E1853</f>
        <v>83891.996230507284</v>
      </c>
      <c r="G1853" s="1789"/>
    </row>
    <row r="1854" spans="1:7" ht="13.8" x14ac:dyDescent="0.25">
      <c r="A1854" s="1788"/>
      <c r="B1854" s="1788"/>
      <c r="C1854" s="1789"/>
      <c r="D1854" s="1789"/>
      <c r="E1854" s="1789"/>
      <c r="F1854" s="1789"/>
      <c r="G1854" s="1789"/>
    </row>
    <row r="1855" spans="1:7" ht="13.8" x14ac:dyDescent="0.25">
      <c r="A1855" s="1788"/>
      <c r="B1855" s="1788" t="s">
        <v>1155</v>
      </c>
      <c r="C1855" s="1789"/>
      <c r="D1855" s="1789"/>
      <c r="E1855" s="1789">
        <v>30000</v>
      </c>
      <c r="F1855" s="1777">
        <f t="shared" ref="F1855:F1857" si="183">E1855</f>
        <v>30000</v>
      </c>
      <c r="G1855" s="1789"/>
    </row>
    <row r="1856" spans="1:7" ht="13.8" x14ac:dyDescent="0.25">
      <c r="A1856" s="1788"/>
      <c r="B1856" s="1788"/>
      <c r="C1856" s="1789"/>
      <c r="D1856" s="1789"/>
      <c r="E1856" s="1789"/>
      <c r="F1856" s="1777"/>
      <c r="G1856" s="1789"/>
    </row>
    <row r="1857" spans="1:7" ht="13.8" x14ac:dyDescent="0.25">
      <c r="A1857" s="1788"/>
      <c r="B1857" s="1788" t="s">
        <v>2285</v>
      </c>
      <c r="C1857" s="1789" t="s">
        <v>981</v>
      </c>
      <c r="D1857" s="1789">
        <v>4</v>
      </c>
      <c r="E1857" s="1789">
        <v>15000</v>
      </c>
      <c r="F1857" s="1777">
        <f t="shared" si="183"/>
        <v>15000</v>
      </c>
      <c r="G1857" s="1789"/>
    </row>
    <row r="1858" spans="1:7" ht="13.8" x14ac:dyDescent="0.25">
      <c r="A1858" s="1788"/>
      <c r="B1858" s="1788"/>
      <c r="C1858" s="1789"/>
      <c r="D1858" s="1789"/>
      <c r="E1858" s="1789"/>
      <c r="F1858" s="1789"/>
      <c r="G1858" s="1789"/>
    </row>
    <row r="1859" spans="1:7" ht="13.8" x14ac:dyDescent="0.25">
      <c r="A1859" s="1779"/>
      <c r="B1859" s="2723" t="s">
        <v>2112</v>
      </c>
      <c r="C1859" s="2723"/>
      <c r="D1859" s="2723"/>
      <c r="E1859" s="2723"/>
      <c r="F1859" s="1780"/>
      <c r="G1859" s="1781">
        <f>SUM(F1847:F1858)</f>
        <v>465891.99623050727</v>
      </c>
    </row>
    <row r="1860" spans="1:7" ht="13.8" x14ac:dyDescent="0.25">
      <c r="A1860" s="1775"/>
      <c r="B1860" s="1778" t="s">
        <v>2098</v>
      </c>
      <c r="C1860" s="1776"/>
      <c r="D1860" s="1777"/>
      <c r="E1860" s="1777"/>
      <c r="F1860" s="1777">
        <f>D1860*E1860</f>
        <v>0</v>
      </c>
      <c r="G1860" s="1777"/>
    </row>
    <row r="1861" spans="1:7" ht="13.8" x14ac:dyDescent="0.25">
      <c r="A1861" s="1788"/>
      <c r="B1861" s="1823"/>
      <c r="C1861" s="1714"/>
      <c r="D1861" s="1789"/>
      <c r="E1861" s="1789"/>
      <c r="F1861" s="1789"/>
      <c r="G1861" s="1789"/>
    </row>
    <row r="1862" spans="1:7" ht="13.8" x14ac:dyDescent="0.25">
      <c r="A1862" s="1788"/>
      <c r="B1862" s="1788" t="s">
        <v>2106</v>
      </c>
      <c r="C1862" s="1789" t="s">
        <v>981</v>
      </c>
      <c r="D1862" s="1789">
        <v>40</v>
      </c>
      <c r="E1862" s="1789">
        <v>500</v>
      </c>
      <c r="F1862" s="1789">
        <f>D1862*E1862</f>
        <v>20000</v>
      </c>
      <c r="G1862" s="1789"/>
    </row>
    <row r="1863" spans="1:7" ht="13.8" x14ac:dyDescent="0.25">
      <c r="A1863" s="1788"/>
      <c r="B1863" s="1788"/>
      <c r="C1863" s="1789"/>
      <c r="D1863" s="1789"/>
      <c r="E1863" s="1789"/>
      <c r="F1863" s="1789"/>
      <c r="G1863" s="1789"/>
    </row>
    <row r="1864" spans="1:7" ht="13.8" x14ac:dyDescent="0.25">
      <c r="A1864" s="1775"/>
      <c r="B1864" s="1775" t="s">
        <v>2228</v>
      </c>
      <c r="C1864" s="1777"/>
      <c r="D1864" s="1777"/>
      <c r="E1864" s="1777"/>
      <c r="F1864" s="1777">
        <f>F1862*3%</f>
        <v>600</v>
      </c>
      <c r="G1864" s="1777"/>
    </row>
    <row r="1865" spans="1:7" ht="13.8" x14ac:dyDescent="0.25">
      <c r="A1865" s="1775"/>
      <c r="B1865" s="1775" t="s">
        <v>2232</v>
      </c>
      <c r="C1865" s="1777"/>
      <c r="D1865" s="1777"/>
      <c r="E1865" s="1777"/>
      <c r="F1865" s="1777">
        <f>F1862*5%</f>
        <v>1000</v>
      </c>
      <c r="G1865" s="1777"/>
    </row>
    <row r="1866" spans="1:7" ht="13.8" x14ac:dyDescent="0.25">
      <c r="A1866" s="1775"/>
      <c r="B1866" s="1775"/>
      <c r="C1866" s="1776"/>
      <c r="D1866" s="1777"/>
      <c r="E1866" s="1777"/>
      <c r="F1866" s="1777"/>
      <c r="G1866" s="1777"/>
    </row>
    <row r="1867" spans="1:7" ht="13.8" x14ac:dyDescent="0.25">
      <c r="A1867" s="1779"/>
      <c r="B1867" s="2723" t="s">
        <v>2100</v>
      </c>
      <c r="C1867" s="2723"/>
      <c r="D1867" s="2723"/>
      <c r="E1867" s="2723"/>
      <c r="F1867" s="1780">
        <f>D1867*E1867</f>
        <v>0</v>
      </c>
      <c r="G1867" s="1781">
        <f>SUM(F1862:F1867)</f>
        <v>21600</v>
      </c>
    </row>
    <row r="1868" spans="1:7" ht="13.8" x14ac:dyDescent="0.25">
      <c r="A1868" s="1775"/>
      <c r="B1868" s="1782"/>
      <c r="C1868" s="1782"/>
      <c r="D1868" s="1782"/>
      <c r="E1868" s="1782"/>
      <c r="F1868" s="1777"/>
      <c r="G1868" s="1782"/>
    </row>
    <row r="1869" spans="1:7" ht="13.8" x14ac:dyDescent="0.25">
      <c r="A1869" s="1775"/>
      <c r="B1869" s="1782"/>
      <c r="C1869" s="1782"/>
      <c r="D1869" s="1782"/>
      <c r="E1869" s="1782"/>
      <c r="F1869" s="1777"/>
      <c r="G1869" s="1782"/>
    </row>
    <row r="1870" spans="1:7" ht="13.8" x14ac:dyDescent="0.25">
      <c r="A1870" s="2716" t="s">
        <v>2287</v>
      </c>
      <c r="B1870" s="2716"/>
      <c r="C1870" s="2716"/>
      <c r="D1870" s="2716"/>
      <c r="E1870" s="2716"/>
      <c r="F1870" s="2716"/>
      <c r="G1870" s="1783">
        <f>G1859+G1867</f>
        <v>487491.99623050727</v>
      </c>
    </row>
    <row r="1871" spans="1:7" ht="13.8" x14ac:dyDescent="0.25">
      <c r="A1871" s="2716" t="s">
        <v>2128</v>
      </c>
      <c r="B1871" s="2716"/>
      <c r="C1871" s="2716"/>
      <c r="D1871" s="2716"/>
      <c r="E1871" s="2716"/>
      <c r="F1871" s="2716"/>
      <c r="G1871" s="1783">
        <f>G1870/16</f>
        <v>30468.249764406704</v>
      </c>
    </row>
    <row r="1872" spans="1:7" ht="13.8" x14ac:dyDescent="0.25">
      <c r="A1872" s="2716" t="s">
        <v>2129</v>
      </c>
      <c r="B1872" s="2716"/>
      <c r="C1872" s="2716"/>
      <c r="D1872" s="2716"/>
      <c r="E1872" s="2716"/>
      <c r="F1872" s="2716"/>
      <c r="G1872" s="1825">
        <f>G1871/10.76</f>
        <v>2831.6217253166083</v>
      </c>
    </row>
    <row r="1875" spans="1:18" ht="13.8" thickBot="1" x14ac:dyDescent="0.3"/>
    <row r="1876" spans="1:18" ht="14.4" x14ac:dyDescent="0.3">
      <c r="A1876" s="2717" t="s">
        <v>2305</v>
      </c>
      <c r="B1876" s="2718"/>
      <c r="C1876" s="2718"/>
      <c r="D1876" s="2718"/>
      <c r="E1876" s="2718"/>
      <c r="F1876" s="2718"/>
      <c r="G1876" s="2719"/>
      <c r="H1876" s="2076"/>
      <c r="I1876" s="2076"/>
      <c r="J1876" s="2079"/>
      <c r="K1876" s="1837" t="s">
        <v>0</v>
      </c>
      <c r="L1876" s="1735" t="s">
        <v>2167</v>
      </c>
      <c r="M1876" s="1735" t="s">
        <v>2306</v>
      </c>
      <c r="N1876" s="1735" t="s">
        <v>2307</v>
      </c>
      <c r="O1876" s="1794" t="s">
        <v>2097</v>
      </c>
      <c r="P1876" s="1838"/>
      <c r="Q1876" s="1757"/>
      <c r="R1876" s="1677"/>
    </row>
    <row r="1877" spans="1:18" ht="15" thickBot="1" x14ac:dyDescent="0.35">
      <c r="A1877" s="2720" t="s">
        <v>2308</v>
      </c>
      <c r="B1877" s="2721"/>
      <c r="C1877" s="2721"/>
      <c r="D1877" s="2721"/>
      <c r="E1877" s="2721"/>
      <c r="F1877" s="2721"/>
      <c r="G1877" s="2722"/>
      <c r="H1877" s="2076"/>
      <c r="I1877" s="2076"/>
      <c r="J1877" s="2080"/>
      <c r="K1877" s="1840"/>
      <c r="L1877" s="1841"/>
      <c r="M1877" s="1841"/>
      <c r="N1877" s="1841"/>
      <c r="O1877" s="1839"/>
      <c r="P1877" s="1757"/>
      <c r="Q1877" s="1757"/>
      <c r="R1877" s="1677"/>
    </row>
    <row r="1878" spans="1:18" ht="15" thickBot="1" x14ac:dyDescent="0.35">
      <c r="A1878" s="1773"/>
      <c r="B1878" s="1774" t="s">
        <v>2094</v>
      </c>
      <c r="C1878" s="1774" t="s">
        <v>2095</v>
      </c>
      <c r="D1878" s="1774" t="s">
        <v>2</v>
      </c>
      <c r="E1878" s="1774" t="s">
        <v>2096</v>
      </c>
      <c r="F1878" s="1774" t="s">
        <v>5</v>
      </c>
      <c r="G1878" s="1774" t="s">
        <v>2097</v>
      </c>
      <c r="H1878" s="2076"/>
      <c r="I1878" s="2076"/>
      <c r="J1878" s="2081" t="s">
        <v>2309</v>
      </c>
      <c r="K1878" s="1843"/>
      <c r="L1878" s="1844">
        <v>0.9</v>
      </c>
      <c r="M1878" s="1844">
        <v>0.6</v>
      </c>
      <c r="N1878" s="1845">
        <v>0.1</v>
      </c>
      <c r="O1878" s="1846">
        <f>PRODUCT(K1878:N1878)</f>
        <v>5.4000000000000006E-2</v>
      </c>
      <c r="P1878" s="1757">
        <f>+O1878</f>
        <v>5.4000000000000006E-2</v>
      </c>
      <c r="Q1878" s="1757" t="s">
        <v>693</v>
      </c>
      <c r="R1878" s="1677"/>
    </row>
    <row r="1879" spans="1:18" ht="14.4" x14ac:dyDescent="0.3">
      <c r="A1879" s="1775"/>
      <c r="B1879" s="1775"/>
      <c r="C1879" s="1776"/>
      <c r="D1879" s="1777"/>
      <c r="E1879" s="1777"/>
      <c r="F1879" s="1777"/>
      <c r="G1879" s="1777"/>
      <c r="H1879" s="2076"/>
      <c r="I1879" s="2076"/>
      <c r="J1879" s="2081"/>
      <c r="K1879" s="1843"/>
      <c r="L1879" s="1845"/>
      <c r="M1879" s="1845"/>
      <c r="N1879" s="1845"/>
      <c r="O1879" s="1842">
        <f t="shared" ref="O1879:O1881" si="184">PRODUCT(K1879:N1879)</f>
        <v>0</v>
      </c>
      <c r="P1879" s="1757">
        <f>P1878/2.83</f>
        <v>1.9081272084805655E-2</v>
      </c>
      <c r="Q1879" s="1757" t="s">
        <v>131</v>
      </c>
      <c r="R1879" s="1677"/>
    </row>
    <row r="1880" spans="1:18" ht="14.4" x14ac:dyDescent="0.3">
      <c r="A1880" s="1775"/>
      <c r="B1880" s="1775" t="s">
        <v>2310</v>
      </c>
      <c r="C1880" s="1777" t="s">
        <v>131</v>
      </c>
      <c r="D1880" s="1777">
        <f>P1879</f>
        <v>1.9081272084805655E-2</v>
      </c>
      <c r="E1880" s="1777">
        <f>G238</f>
        <v>63871.25</v>
      </c>
      <c r="F1880" s="1777">
        <f t="shared" ref="F1880" si="185">D1880*E1880</f>
        <v>1218.7446996466433</v>
      </c>
      <c r="G1880" s="1777"/>
      <c r="H1880" s="2076"/>
      <c r="I1880" s="2076"/>
      <c r="J1880" s="2081" t="s">
        <v>2311</v>
      </c>
      <c r="K1880" s="1843"/>
      <c r="L1880" s="1847">
        <f>+L1878</f>
        <v>0.9</v>
      </c>
      <c r="M1880" s="1847">
        <f>+M1878</f>
        <v>0.6</v>
      </c>
      <c r="N1880" s="1848"/>
      <c r="O1880" s="1842">
        <f t="shared" si="184"/>
        <v>0.54</v>
      </c>
      <c r="P1880" s="1757"/>
      <c r="Q1880" s="1757">
        <f>+O1880*10.76</f>
        <v>5.8104000000000005</v>
      </c>
      <c r="R1880" s="1677"/>
    </row>
    <row r="1881" spans="1:18" ht="14.4" x14ac:dyDescent="0.3">
      <c r="A1881" s="1775"/>
      <c r="B1881" s="1790" t="s">
        <v>2150</v>
      </c>
      <c r="C1881" s="1776"/>
      <c r="D1881" s="1777"/>
      <c r="E1881" s="1777"/>
      <c r="F1881" s="1777">
        <f>F1880*10%</f>
        <v>121.87446996466434</v>
      </c>
      <c r="G1881" s="1777"/>
      <c r="H1881" s="2076"/>
      <c r="I1881" s="2076"/>
      <c r="J1881" s="2081"/>
      <c r="K1881" s="1843"/>
      <c r="L1881" s="1847">
        <f>+L1880+M1880</f>
        <v>1.5</v>
      </c>
      <c r="M1881" s="1848"/>
      <c r="N1881" s="1848">
        <v>0.1</v>
      </c>
      <c r="O1881" s="1849">
        <f t="shared" si="184"/>
        <v>0.15000000000000002</v>
      </c>
      <c r="P1881" s="1757"/>
      <c r="Q1881" s="1757"/>
      <c r="R1881" s="1677"/>
    </row>
    <row r="1882" spans="1:18" ht="14.4" x14ac:dyDescent="0.3">
      <c r="A1882" s="1775"/>
      <c r="B1882" s="1775" t="s">
        <v>2160</v>
      </c>
      <c r="C1882" s="1777" t="s">
        <v>2312</v>
      </c>
      <c r="D1882" s="1777">
        <f>+P1887</f>
        <v>4.9950049950049946</v>
      </c>
      <c r="E1882" s="1777">
        <f>H586</f>
        <v>442.34015625000001</v>
      </c>
      <c r="F1882" s="1777">
        <f t="shared" ref="F1882" si="186">D1882*E1882</f>
        <v>2209.4912899600399</v>
      </c>
      <c r="G1882" s="1777"/>
      <c r="H1882" s="2076"/>
      <c r="I1882" s="2076"/>
      <c r="J1882" s="2081"/>
      <c r="K1882" s="1843"/>
      <c r="L1882" s="1848"/>
      <c r="M1882" s="1848"/>
      <c r="N1882" s="1848"/>
      <c r="O1882" s="1850">
        <f>SUM(O1880:O1881)</f>
        <v>0.69000000000000006</v>
      </c>
      <c r="P1882" s="1757">
        <f>SUM(O1882)</f>
        <v>0.69000000000000006</v>
      </c>
      <c r="Q1882" s="1757" t="s">
        <v>692</v>
      </c>
      <c r="R1882" s="1677"/>
    </row>
    <row r="1883" spans="1:18" ht="14.4" x14ac:dyDescent="0.3">
      <c r="A1883" s="1775"/>
      <c r="B1883" s="1775" t="s">
        <v>2313</v>
      </c>
      <c r="C1883" s="1777" t="s">
        <v>692</v>
      </c>
      <c r="D1883" s="1777">
        <f>+P1881</f>
        <v>0</v>
      </c>
      <c r="E1883" s="1777"/>
      <c r="F1883" s="1777">
        <f>D1883*E1883</f>
        <v>0</v>
      </c>
      <c r="G1883" s="1777"/>
      <c r="H1883" s="2076"/>
      <c r="I1883" s="2076"/>
      <c r="J1883" s="2081"/>
      <c r="K1883" s="1843"/>
      <c r="L1883" s="1848"/>
      <c r="M1883" s="1848"/>
      <c r="N1883" s="1848"/>
      <c r="O1883" s="1851"/>
      <c r="P1883" s="1757"/>
      <c r="Q1883" s="1757"/>
      <c r="R1883" s="1677"/>
    </row>
    <row r="1884" spans="1:18" ht="14.4" x14ac:dyDescent="0.3">
      <c r="A1884" s="1775"/>
      <c r="B1884" s="1790" t="s">
        <v>2314</v>
      </c>
      <c r="C1884" s="1777" t="s">
        <v>692</v>
      </c>
      <c r="D1884" s="1777">
        <f>+P1892</f>
        <v>0.89999999999999991</v>
      </c>
      <c r="E1884" s="1777"/>
      <c r="F1884" s="1777">
        <f>D1884*E1884</f>
        <v>0</v>
      </c>
      <c r="G1884" s="1777"/>
      <c r="H1884" s="2076"/>
      <c r="I1884" s="2076"/>
      <c r="J1884" s="2081" t="s">
        <v>2160</v>
      </c>
      <c r="K1884" s="1843"/>
      <c r="L1884" s="1848"/>
      <c r="M1884" s="1848"/>
      <c r="N1884" s="1848"/>
      <c r="O1884" s="1848">
        <f t="shared" ref="O1884:O1886" si="187">PRODUCT(K1884:N1884)</f>
        <v>0</v>
      </c>
      <c r="P1884" s="1757"/>
      <c r="Q1884" s="1757"/>
      <c r="R1884" s="1677"/>
    </row>
    <row r="1885" spans="1:18" ht="14.4" x14ac:dyDescent="0.3">
      <c r="A1885" s="1775"/>
      <c r="B1885" s="1790" t="s">
        <v>2315</v>
      </c>
      <c r="C1885" s="1777" t="s">
        <v>692</v>
      </c>
      <c r="D1885" s="1777">
        <f>+O1891</f>
        <v>0.69000000000000006</v>
      </c>
      <c r="E1885" s="1777">
        <f>G946</f>
        <v>1642.7173035522069</v>
      </c>
      <c r="F1885" s="1777">
        <f t="shared" ref="F1885:F1886" si="188">D1885*E1885</f>
        <v>1133.4749394510229</v>
      </c>
      <c r="G1885" s="1777"/>
      <c r="H1885" s="2076">
        <f>4000*10.76</f>
        <v>43040</v>
      </c>
      <c r="I1885" s="2076"/>
      <c r="J1885" s="2081" t="s">
        <v>2316</v>
      </c>
      <c r="K1885" s="1843">
        <v>7</v>
      </c>
      <c r="L1885" s="1848">
        <v>0.55000000000000004</v>
      </c>
      <c r="M1885" s="1848"/>
      <c r="N1885" s="1848">
        <f>+(10*10)/(162.162)</f>
        <v>0.61666728333394993</v>
      </c>
      <c r="O1885" s="1848">
        <f t="shared" si="187"/>
        <v>2.3741690408357075</v>
      </c>
      <c r="P1885" s="1757"/>
      <c r="Q1885" s="1757">
        <f>0.9/0.15+1</f>
        <v>7</v>
      </c>
      <c r="R1885" s="1677"/>
    </row>
    <row r="1886" spans="1:18" ht="14.4" x14ac:dyDescent="0.3">
      <c r="A1886" s="1775"/>
      <c r="B1886" s="1776" t="s">
        <v>1061</v>
      </c>
      <c r="C1886" s="1777" t="s">
        <v>2126</v>
      </c>
      <c r="D1886" s="1777">
        <f>+O1880*10.76</f>
        <v>5.8104000000000005</v>
      </c>
      <c r="E1886" s="1777">
        <v>4000</v>
      </c>
      <c r="F1886" s="1777">
        <f t="shared" si="188"/>
        <v>23241.600000000002</v>
      </c>
      <c r="G1886" s="1777"/>
      <c r="H1886" s="2076"/>
      <c r="I1886" s="2076"/>
      <c r="J1886" s="2082" t="s">
        <v>2316</v>
      </c>
      <c r="K1886" s="1852">
        <v>5</v>
      </c>
      <c r="L1886" s="1853">
        <v>0.85</v>
      </c>
      <c r="M1886" s="1853"/>
      <c r="N1886" s="1848">
        <f>+(10*10)/(162.162)</f>
        <v>0.61666728333394993</v>
      </c>
      <c r="O1886" s="1848">
        <f t="shared" si="187"/>
        <v>2.6208359541692872</v>
      </c>
      <c r="P1886" s="1757"/>
      <c r="Q1886" s="1757">
        <f>0.55/0.15+1</f>
        <v>4.666666666666667</v>
      </c>
      <c r="R1886" s="1677"/>
    </row>
    <row r="1887" spans="1:18" ht="14.4" x14ac:dyDescent="0.3">
      <c r="A1887" s="1775"/>
      <c r="B1887" s="1775" t="s">
        <v>2317</v>
      </c>
      <c r="C1887" s="1776"/>
      <c r="D1887" s="1777"/>
      <c r="E1887" s="1777"/>
      <c r="F1887" s="1777">
        <f>+H1886*3%</f>
        <v>0</v>
      </c>
      <c r="G1887" s="1777"/>
      <c r="H1887" s="2076"/>
      <c r="I1887" s="2076"/>
      <c r="J1887" s="2083"/>
      <c r="K1887" s="1854"/>
      <c r="L1887" s="1855"/>
      <c r="M1887" s="1855"/>
      <c r="N1887" s="1855"/>
      <c r="O1887" s="1856">
        <f>SUM(O1885:O1886)</f>
        <v>4.9950049950049946</v>
      </c>
      <c r="P1887" s="1757">
        <f>+O1887</f>
        <v>4.9950049950049946</v>
      </c>
      <c r="Q1887" s="1757" t="s">
        <v>134</v>
      </c>
      <c r="R1887" s="1677"/>
    </row>
    <row r="1888" spans="1:18" ht="14.4" x14ac:dyDescent="0.3">
      <c r="A1888" s="1779"/>
      <c r="B1888" s="2723" t="s">
        <v>2112</v>
      </c>
      <c r="C1888" s="2723"/>
      <c r="D1888" s="2723"/>
      <c r="E1888" s="2723"/>
      <c r="F1888" s="1780"/>
      <c r="G1888" s="1781">
        <f>SUM(F1880:F1887)</f>
        <v>27925.185399022372</v>
      </c>
      <c r="H1888" s="2076"/>
      <c r="I1888" s="2076"/>
      <c r="J1888" s="2075"/>
      <c r="K1888" s="1857"/>
      <c r="L1888" s="1858"/>
      <c r="M1888" s="1858"/>
      <c r="N1888" s="1858"/>
      <c r="O1888" s="1757"/>
      <c r="P1888" s="1757"/>
      <c r="Q1888" s="1757"/>
      <c r="R1888" s="1677"/>
    </row>
    <row r="1889" spans="1:18" ht="14.4" x14ac:dyDescent="0.3">
      <c r="A1889" s="1775"/>
      <c r="B1889" s="1778" t="s">
        <v>2098</v>
      </c>
      <c r="C1889" s="1776"/>
      <c r="D1889" s="1777"/>
      <c r="E1889" s="1777"/>
      <c r="F1889" s="1777">
        <f t="shared" ref="F1889" si="189">D1889*E1889</f>
        <v>0</v>
      </c>
      <c r="G1889" s="1777"/>
      <c r="H1889" s="2076"/>
      <c r="I1889" s="2076"/>
      <c r="J1889" s="2084" t="s">
        <v>2318</v>
      </c>
      <c r="K1889" s="1843"/>
      <c r="L1889" s="1848">
        <f>+L1878</f>
        <v>0.9</v>
      </c>
      <c r="M1889" s="1848">
        <f>+M1878</f>
        <v>0.6</v>
      </c>
      <c r="N1889" s="1848"/>
      <c r="O1889" s="1848">
        <f t="shared" ref="O1889:O1890" si="190">PRODUCT(K1889:N1889)</f>
        <v>0.54</v>
      </c>
      <c r="P1889" s="1677"/>
      <c r="Q1889" s="1677"/>
      <c r="R1889" s="1677"/>
    </row>
    <row r="1890" spans="1:18" ht="14.4" x14ac:dyDescent="0.3">
      <c r="A1890" s="1775"/>
      <c r="B1890" s="1790" t="s">
        <v>2319</v>
      </c>
      <c r="C1890" s="1777" t="s">
        <v>1995</v>
      </c>
      <c r="D1890" s="1777">
        <v>1</v>
      </c>
      <c r="E1890" s="1777">
        <v>10000</v>
      </c>
      <c r="F1890" s="1777">
        <f>+E1890</f>
        <v>10000</v>
      </c>
      <c r="G1890" s="1777"/>
      <c r="H1890" s="2076" t="s">
        <v>2320</v>
      </c>
      <c r="I1890" s="2076"/>
      <c r="J1890" s="2081"/>
      <c r="K1890" s="1843"/>
      <c r="L1890" s="1848"/>
      <c r="M1890" s="1848">
        <f>+L1889+M1889</f>
        <v>1.5</v>
      </c>
      <c r="N1890" s="1848">
        <v>0.1</v>
      </c>
      <c r="O1890" s="1853">
        <f t="shared" si="190"/>
        <v>0.15000000000000002</v>
      </c>
      <c r="P1890" s="1859">
        <f>+O1890+O1889</f>
        <v>0.69000000000000006</v>
      </c>
      <c r="Q1890" s="1677" t="s">
        <v>692</v>
      </c>
      <c r="R1890" s="1677"/>
    </row>
    <row r="1891" spans="1:18" ht="14.4" x14ac:dyDescent="0.3">
      <c r="A1891" s="1775"/>
      <c r="B1891" s="1775"/>
      <c r="C1891" s="1777"/>
      <c r="D1891" s="1777"/>
      <c r="E1891" s="1777"/>
      <c r="F1891" s="1777"/>
      <c r="G1891" s="1777"/>
      <c r="H1891" s="2076"/>
      <c r="I1891" s="2076"/>
      <c r="J1891" s="2081"/>
      <c r="K1891" s="1843"/>
      <c r="L1891" s="1848"/>
      <c r="M1891" s="1848"/>
      <c r="N1891" s="1848"/>
      <c r="O1891" s="1860">
        <f>SUM(O1889:O1890)</f>
        <v>0.69000000000000006</v>
      </c>
      <c r="P1891" s="1859"/>
      <c r="Q1891" s="1677"/>
      <c r="R1891" s="1677"/>
    </row>
    <row r="1892" spans="1:18" ht="14.4" x14ac:dyDescent="0.3">
      <c r="A1892" s="1779"/>
      <c r="B1892" s="2723" t="s">
        <v>2100</v>
      </c>
      <c r="C1892" s="2723"/>
      <c r="D1892" s="2723"/>
      <c r="E1892" s="2723"/>
      <c r="F1892" s="1780">
        <f t="shared" ref="F1892" si="191">D1892*E1892</f>
        <v>0</v>
      </c>
      <c r="G1892" s="1781">
        <f>SUM(F1890:F1892)</f>
        <v>10000</v>
      </c>
      <c r="H1892" s="2076"/>
      <c r="I1892" s="2076"/>
      <c r="J1892" s="2084" t="s">
        <v>2321</v>
      </c>
      <c r="K1892" s="1843"/>
      <c r="L1892" s="1848"/>
      <c r="M1892" s="1848">
        <f>+L1881</f>
        <v>1.5</v>
      </c>
      <c r="N1892" s="1848">
        <v>0.6</v>
      </c>
      <c r="O1892" s="1848">
        <f t="shared" ref="O1892" si="192">PRODUCT(K1892:N1892)</f>
        <v>0.89999999999999991</v>
      </c>
      <c r="P1892" s="1859">
        <f>+O1892</f>
        <v>0.89999999999999991</v>
      </c>
      <c r="Q1892" s="1677" t="s">
        <v>692</v>
      </c>
      <c r="R1892" s="1677"/>
    </row>
    <row r="1893" spans="1:18" ht="14.4" x14ac:dyDescent="0.3">
      <c r="A1893" s="1775"/>
      <c r="B1893" s="1861"/>
      <c r="C1893" s="1782"/>
      <c r="D1893" s="1782"/>
      <c r="E1893" s="1782"/>
      <c r="F1893" s="1777"/>
      <c r="G1893" s="1782"/>
      <c r="H1893" s="2076"/>
      <c r="I1893" s="2076"/>
      <c r="J1893" s="2076"/>
      <c r="K1893" s="1677"/>
      <c r="L1893" s="1677"/>
      <c r="M1893" s="1677"/>
      <c r="N1893" s="1677"/>
      <c r="O1893" s="1677"/>
      <c r="P1893" s="1677"/>
      <c r="Q1893" s="1677"/>
      <c r="R1893" s="1677"/>
    </row>
    <row r="1894" spans="1:18" ht="14.4" x14ac:dyDescent="0.3">
      <c r="A1894" s="1775"/>
      <c r="B1894" s="1782"/>
      <c r="C1894" s="1782"/>
      <c r="D1894" s="1782"/>
      <c r="E1894" s="1782"/>
      <c r="F1894" s="1777"/>
      <c r="G1894" s="1782"/>
      <c r="H1894" s="2076"/>
      <c r="I1894" s="2076"/>
      <c r="J1894" s="2076"/>
      <c r="K1894" s="1677"/>
      <c r="L1894" s="1677"/>
      <c r="M1894" s="1677"/>
      <c r="N1894" s="1677"/>
      <c r="O1894" s="1677"/>
      <c r="P1894" s="1677"/>
      <c r="Q1894" s="1677"/>
      <c r="R1894" s="1677"/>
    </row>
    <row r="1895" spans="1:18" ht="14.4" x14ac:dyDescent="0.3">
      <c r="A1895" s="2716" t="s">
        <v>2322</v>
      </c>
      <c r="B1895" s="2716"/>
      <c r="C1895" s="2716"/>
      <c r="D1895" s="2716"/>
      <c r="E1895" s="2716"/>
      <c r="F1895" s="2716"/>
      <c r="G1895" s="1783">
        <f>G1888+G1892</f>
        <v>37925.185399022375</v>
      </c>
      <c r="H1895" s="2076"/>
      <c r="I1895" s="2076"/>
      <c r="J1895" s="2076"/>
      <c r="K1895" s="1677"/>
      <c r="L1895" s="1677"/>
      <c r="M1895" s="1677"/>
      <c r="N1895" s="1677"/>
      <c r="O1895" s="1677"/>
      <c r="P1895" s="1677"/>
      <c r="Q1895" s="1677"/>
      <c r="R1895" s="1677"/>
    </row>
    <row r="1896" spans="1:18" ht="15" thickBot="1" x14ac:dyDescent="0.35">
      <c r="A1896" s="2716" t="s">
        <v>2128</v>
      </c>
      <c r="B1896" s="2716"/>
      <c r="C1896" s="2716"/>
      <c r="D1896" s="2716"/>
      <c r="E1896" s="2716"/>
      <c r="F1896" s="2716"/>
      <c r="G1896" s="1862">
        <f>G1895/9.29</f>
        <v>4082.3665660949814</v>
      </c>
      <c r="H1896" s="2076"/>
      <c r="I1896" s="2076"/>
      <c r="J1896" s="2076"/>
      <c r="K1896" s="1677"/>
      <c r="L1896" s="1677"/>
      <c r="M1896" s="1677"/>
      <c r="N1896" s="1677"/>
      <c r="O1896" s="1677"/>
      <c r="P1896" s="1677"/>
      <c r="Q1896" s="1677"/>
      <c r="R1896" s="1677"/>
    </row>
    <row r="1897" spans="1:18" ht="15" thickBot="1" x14ac:dyDescent="0.35">
      <c r="A1897" s="2716" t="s">
        <v>2129</v>
      </c>
      <c r="B1897" s="2716"/>
      <c r="C1897" s="2716"/>
      <c r="D1897" s="2716"/>
      <c r="E1897" s="2716"/>
      <c r="F1897" s="2716"/>
      <c r="G1897" s="1863">
        <f>G1896/10.76</f>
        <v>379.40209722072319</v>
      </c>
      <c r="H1897" s="2076"/>
      <c r="I1897" s="2076"/>
      <c r="J1897" s="2076"/>
      <c r="K1897" s="1677"/>
      <c r="L1897" s="1677"/>
      <c r="M1897" s="1677"/>
      <c r="N1897" s="1677"/>
      <c r="O1897" s="1677"/>
      <c r="P1897" s="1677"/>
      <c r="Q1897" s="1677"/>
      <c r="R1897" s="1677"/>
    </row>
    <row r="1898" spans="1:18" ht="14.4" x14ac:dyDescent="0.3">
      <c r="A1898" s="1677"/>
      <c r="B1898" s="1677"/>
      <c r="C1898" s="1677"/>
      <c r="D1898" s="1677"/>
      <c r="E1898" s="1677"/>
      <c r="F1898" s="1677"/>
      <c r="G1898" s="1677"/>
      <c r="H1898" s="2076"/>
      <c r="I1898" s="2076"/>
      <c r="J1898" s="2076"/>
      <c r="K1898" s="1677"/>
      <c r="L1898" s="1677"/>
      <c r="M1898" s="1677"/>
      <c r="N1898" s="1677"/>
      <c r="O1898" s="1677"/>
      <c r="P1898" s="1677"/>
      <c r="Q1898" s="1677"/>
      <c r="R1898" s="1677"/>
    </row>
    <row r="1899" spans="1:18" ht="14.4" x14ac:dyDescent="0.3">
      <c r="A1899" s="1677"/>
      <c r="B1899" s="1677"/>
      <c r="C1899" s="1677"/>
      <c r="D1899" s="1677"/>
      <c r="E1899" s="1677"/>
      <c r="F1899" s="1677"/>
      <c r="G1899" s="1677"/>
      <c r="H1899" s="2076"/>
      <c r="I1899" s="2076"/>
      <c r="J1899" s="2076"/>
      <c r="K1899" s="1677"/>
      <c r="L1899" s="1677"/>
      <c r="M1899" s="1677"/>
      <c r="N1899" s="1677"/>
      <c r="O1899" s="1677"/>
      <c r="P1899" s="1677"/>
      <c r="Q1899" s="1677"/>
      <c r="R1899" s="1677"/>
    </row>
    <row r="1900" spans="1:18" ht="15" thickBot="1" x14ac:dyDescent="0.35">
      <c r="A1900" s="1677"/>
      <c r="B1900" s="1677"/>
      <c r="C1900" s="1677"/>
      <c r="D1900" s="1677"/>
      <c r="E1900" s="1677"/>
      <c r="F1900" s="1677"/>
      <c r="G1900" s="1677"/>
      <c r="H1900" s="2076"/>
      <c r="I1900" s="2076"/>
      <c r="J1900" s="2079"/>
      <c r="K1900" s="1837" t="s">
        <v>0</v>
      </c>
      <c r="L1900" s="1735" t="s">
        <v>2167</v>
      </c>
      <c r="M1900" s="1735" t="s">
        <v>2306</v>
      </c>
      <c r="N1900" s="1735" t="s">
        <v>2307</v>
      </c>
      <c r="O1900" s="1794" t="s">
        <v>2097</v>
      </c>
      <c r="P1900" s="1838"/>
      <c r="Q1900" s="1757"/>
      <c r="R1900" s="1677"/>
    </row>
    <row r="1901" spans="1:18" ht="14.4" x14ac:dyDescent="0.3">
      <c r="A1901" s="2717" t="s">
        <v>2323</v>
      </c>
      <c r="B1901" s="2718"/>
      <c r="C1901" s="2718"/>
      <c r="D1901" s="2718"/>
      <c r="E1901" s="2718"/>
      <c r="F1901" s="2718"/>
      <c r="G1901" s="2719"/>
      <c r="H1901" s="2076"/>
      <c r="I1901" s="2076"/>
      <c r="J1901" s="2080"/>
      <c r="K1901" s="1840"/>
      <c r="L1901" s="1841"/>
      <c r="M1901" s="1841"/>
      <c r="N1901" s="1841"/>
      <c r="O1901" s="1839"/>
      <c r="P1901" s="1757"/>
      <c r="Q1901" s="1757"/>
      <c r="R1901" s="1677"/>
    </row>
    <row r="1902" spans="1:18" ht="15" thickBot="1" x14ac:dyDescent="0.35">
      <c r="A1902" s="2720" t="s">
        <v>2308</v>
      </c>
      <c r="B1902" s="2721"/>
      <c r="C1902" s="2721"/>
      <c r="D1902" s="2721"/>
      <c r="E1902" s="2721"/>
      <c r="F1902" s="2721"/>
      <c r="G1902" s="2722"/>
      <c r="H1902" s="2076"/>
      <c r="I1902" s="2076"/>
      <c r="J1902" s="2081" t="s">
        <v>2309</v>
      </c>
      <c r="K1902" s="1843"/>
      <c r="L1902" s="1844">
        <v>2.85</v>
      </c>
      <c r="M1902" s="1844">
        <v>0.6</v>
      </c>
      <c r="N1902" s="1845">
        <v>0.1</v>
      </c>
      <c r="O1902" s="1842">
        <f>PRODUCT(K1902:N1902)</f>
        <v>0.17100000000000001</v>
      </c>
      <c r="P1902" s="1757">
        <f>+O1902</f>
        <v>0.17100000000000001</v>
      </c>
      <c r="Q1902" s="1757" t="s">
        <v>693</v>
      </c>
      <c r="R1902" s="1677"/>
    </row>
    <row r="1903" spans="1:18" ht="15" thickBot="1" x14ac:dyDescent="0.35">
      <c r="A1903" s="1773"/>
      <c r="B1903" s="1774" t="s">
        <v>2094</v>
      </c>
      <c r="C1903" s="1774" t="s">
        <v>2095</v>
      </c>
      <c r="D1903" s="1774" t="s">
        <v>2</v>
      </c>
      <c r="E1903" s="1774" t="s">
        <v>2096</v>
      </c>
      <c r="F1903" s="1774" t="s">
        <v>5</v>
      </c>
      <c r="G1903" s="1774" t="s">
        <v>2097</v>
      </c>
      <c r="H1903" s="2076"/>
      <c r="I1903" s="2076"/>
      <c r="J1903" s="2081"/>
      <c r="K1903" s="1843"/>
      <c r="L1903" s="1844">
        <v>1.35</v>
      </c>
      <c r="M1903" s="1844">
        <v>0.6</v>
      </c>
      <c r="N1903" s="1845">
        <v>0.1</v>
      </c>
      <c r="O1903" s="1849">
        <f>PRODUCT(K1903:N1903)</f>
        <v>8.1000000000000016E-2</v>
      </c>
      <c r="P1903" s="1757">
        <f>P1902/2.83</f>
        <v>6.0424028268551241E-2</v>
      </c>
      <c r="Q1903" s="1757" t="s">
        <v>131</v>
      </c>
      <c r="R1903" s="1677"/>
    </row>
    <row r="1904" spans="1:18" ht="14.4" x14ac:dyDescent="0.3">
      <c r="A1904" s="1775"/>
      <c r="B1904" s="1775"/>
      <c r="C1904" s="1776"/>
      <c r="D1904" s="1777"/>
      <c r="E1904" s="1777"/>
      <c r="F1904" s="1777"/>
      <c r="G1904" s="1777"/>
      <c r="H1904" s="2076"/>
      <c r="I1904" s="2076"/>
      <c r="J1904" s="2081"/>
      <c r="K1904" s="1843"/>
      <c r="L1904" s="1844"/>
      <c r="M1904" s="1844"/>
      <c r="N1904" s="1845"/>
      <c r="O1904" s="1856">
        <f>SUM(O1902:O1903)</f>
        <v>0.252</v>
      </c>
      <c r="P1904" s="1757"/>
      <c r="Q1904" s="1757"/>
      <c r="R1904" s="1677"/>
    </row>
    <row r="1905" spans="1:18" ht="14.4" x14ac:dyDescent="0.3">
      <c r="A1905" s="1775"/>
      <c r="B1905" s="1775" t="s">
        <v>2310</v>
      </c>
      <c r="C1905" s="1777" t="s">
        <v>693</v>
      </c>
      <c r="D1905" s="1777">
        <f>P1903</f>
        <v>6.0424028268551241E-2</v>
      </c>
      <c r="E1905" s="1777">
        <f>E1880</f>
        <v>63871.25</v>
      </c>
      <c r="F1905" s="1777">
        <f t="shared" ref="F1905" si="193">D1905*E1905</f>
        <v>3859.3582155477034</v>
      </c>
      <c r="G1905" s="1777"/>
      <c r="H1905" s="2076"/>
      <c r="I1905" s="2076"/>
      <c r="J1905" s="2081"/>
      <c r="K1905" s="1843"/>
      <c r="L1905" s="1845"/>
      <c r="M1905" s="1845"/>
      <c r="N1905" s="1845"/>
      <c r="O1905" s="1842">
        <f t="shared" ref="O1905:O1908" si="194">PRODUCT(K1905:N1905)</f>
        <v>0</v>
      </c>
      <c r="P1905" s="1757"/>
      <c r="Q1905" s="1757">
        <f>+O1906*10.76</f>
        <v>18.3996</v>
      </c>
      <c r="R1905" s="1677"/>
    </row>
    <row r="1906" spans="1:18" ht="14.4" x14ac:dyDescent="0.3">
      <c r="A1906" s="1775"/>
      <c r="B1906" s="1790" t="s">
        <v>2150</v>
      </c>
      <c r="C1906" s="1776"/>
      <c r="D1906" s="1777"/>
      <c r="E1906" s="1777"/>
      <c r="F1906" s="1777">
        <f>F1905*10%</f>
        <v>385.93582155477037</v>
      </c>
      <c r="G1906" s="1777"/>
      <c r="H1906" s="2076"/>
      <c r="I1906" s="2076"/>
      <c r="J1906" s="2081" t="s">
        <v>2311</v>
      </c>
      <c r="K1906" s="1843"/>
      <c r="L1906" s="1847">
        <f>+L1902</f>
        <v>2.85</v>
      </c>
      <c r="M1906" s="1847">
        <f>+M1902</f>
        <v>0.6</v>
      </c>
      <c r="N1906" s="1848"/>
      <c r="O1906" s="1842">
        <f t="shared" si="194"/>
        <v>1.71</v>
      </c>
      <c r="P1906" s="1757"/>
      <c r="Q1906" s="1757"/>
      <c r="R1906" s="1677"/>
    </row>
    <row r="1907" spans="1:18" ht="14.4" x14ac:dyDescent="0.3">
      <c r="A1907" s="1775"/>
      <c r="B1907" s="1775" t="s">
        <v>2160</v>
      </c>
      <c r="C1907" s="1777" t="s">
        <v>2312</v>
      </c>
      <c r="D1907" s="1777">
        <f>+P1915</f>
        <v>25.730853251686582</v>
      </c>
      <c r="E1907" s="1777">
        <f>E1882</f>
        <v>442.34015625000001</v>
      </c>
      <c r="F1907" s="1777">
        <f t="shared" ref="F1907" si="195">D1907*E1907</f>
        <v>11381.789647796864</v>
      </c>
      <c r="G1907" s="1777"/>
      <c r="H1907" s="2076"/>
      <c r="I1907" s="2076"/>
      <c r="J1907" s="2081"/>
      <c r="K1907" s="1843"/>
      <c r="L1907" s="1847">
        <f>+L1903</f>
        <v>1.35</v>
      </c>
      <c r="M1907" s="1847">
        <f>+M1903</f>
        <v>0.6</v>
      </c>
      <c r="N1907" s="1848"/>
      <c r="O1907" s="1842">
        <f t="shared" si="194"/>
        <v>0.81</v>
      </c>
      <c r="P1907" s="1757"/>
      <c r="Q1907" s="1757"/>
      <c r="R1907" s="1677"/>
    </row>
    <row r="1908" spans="1:18" ht="14.4" x14ac:dyDescent="0.3">
      <c r="A1908" s="1775"/>
      <c r="B1908" s="1775" t="s">
        <v>2313</v>
      </c>
      <c r="C1908" s="1777" t="s">
        <v>692</v>
      </c>
      <c r="D1908" s="1777">
        <f>+O1909</f>
        <v>2.9975000000000001</v>
      </c>
      <c r="E1908" s="1777"/>
      <c r="F1908" s="1777">
        <f>D1908*E1908</f>
        <v>0</v>
      </c>
      <c r="G1908" s="1777"/>
      <c r="H1908" s="2076"/>
      <c r="I1908" s="2076"/>
      <c r="J1908" s="2081"/>
      <c r="K1908" s="1843"/>
      <c r="L1908" s="1847">
        <f>4.5+0.275</f>
        <v>4.7750000000000004</v>
      </c>
      <c r="M1908" s="1848"/>
      <c r="N1908" s="1848">
        <v>0.1</v>
      </c>
      <c r="O1908" s="1849">
        <f t="shared" si="194"/>
        <v>0.47750000000000004</v>
      </c>
      <c r="P1908" s="1757"/>
      <c r="Q1908" s="1757"/>
      <c r="R1908" s="1677"/>
    </row>
    <row r="1909" spans="1:18" ht="14.4" x14ac:dyDescent="0.3">
      <c r="A1909" s="1775"/>
      <c r="B1909" s="1864" t="s">
        <v>2314</v>
      </c>
      <c r="C1909" s="1777" t="s">
        <v>692</v>
      </c>
      <c r="D1909" s="1777">
        <f>+P1921</f>
        <v>2.88</v>
      </c>
      <c r="E1909" s="1777"/>
      <c r="F1909" s="1777">
        <f>D1909*E1909</f>
        <v>0</v>
      </c>
      <c r="G1909" s="1777"/>
      <c r="H1909" s="2076"/>
      <c r="I1909" s="2076"/>
      <c r="J1909" s="2081"/>
      <c r="K1909" s="1843"/>
      <c r="L1909" s="1848"/>
      <c r="M1909" s="1848"/>
      <c r="N1909" s="1848"/>
      <c r="O1909" s="1850">
        <f>SUM(O1906:O1908)</f>
        <v>2.9975000000000001</v>
      </c>
      <c r="P1909" s="1757">
        <f>SUM(O1909)</f>
        <v>2.9975000000000001</v>
      </c>
      <c r="Q1909" s="1757" t="s">
        <v>692</v>
      </c>
      <c r="R1909" s="1677"/>
    </row>
    <row r="1910" spans="1:18" ht="14.4" x14ac:dyDescent="0.3">
      <c r="A1910" s="1775"/>
      <c r="B1910" s="1790" t="s">
        <v>2315</v>
      </c>
      <c r="C1910" s="1777" t="s">
        <v>692</v>
      </c>
      <c r="D1910" s="1777">
        <f>+O1920</f>
        <v>2.9975000000000001</v>
      </c>
      <c r="E1910" s="1777">
        <f>E1885</f>
        <v>1642.7173035522069</v>
      </c>
      <c r="F1910" s="1777">
        <f>D1910*E1910</f>
        <v>4924.0451173977399</v>
      </c>
      <c r="G1910" s="1777"/>
      <c r="H1910" s="2076"/>
      <c r="I1910" s="2076"/>
      <c r="J1910" s="2081"/>
      <c r="K1910" s="1843"/>
      <c r="L1910" s="1848"/>
      <c r="M1910" s="1848"/>
      <c r="N1910" s="1848"/>
      <c r="O1910" s="1851"/>
      <c r="P1910" s="1757"/>
      <c r="Q1910" s="1757"/>
      <c r="R1910" s="1677"/>
    </row>
    <row r="1911" spans="1:18" ht="14.4" x14ac:dyDescent="0.3">
      <c r="A1911" s="1775"/>
      <c r="B1911" s="1776" t="s">
        <v>1061</v>
      </c>
      <c r="C1911" s="1777" t="s">
        <v>2126</v>
      </c>
      <c r="D1911" s="1777">
        <f>(+O1906+O1907)*10.76</f>
        <v>27.115199999999998</v>
      </c>
      <c r="E1911" s="1777">
        <v>4000</v>
      </c>
      <c r="F1911" s="1777">
        <f>D1911*E1911</f>
        <v>108460.79999999999</v>
      </c>
      <c r="G1911" s="1777"/>
      <c r="H1911" s="2076"/>
      <c r="I1911" s="2076"/>
      <c r="J1911" s="2081" t="s">
        <v>2160</v>
      </c>
      <c r="K1911" s="1843"/>
      <c r="L1911" s="1848"/>
      <c r="M1911" s="1848"/>
      <c r="N1911" s="1848"/>
      <c r="O1911" s="1848">
        <f t="shared" ref="O1911:O1914" si="196">PRODUCT(K1911:N1911)</f>
        <v>0</v>
      </c>
      <c r="P1911" s="1757"/>
      <c r="Q1911" s="1757"/>
      <c r="R1911" s="1677"/>
    </row>
    <row r="1912" spans="1:18" ht="14.4" x14ac:dyDescent="0.3">
      <c r="A1912" s="1775"/>
      <c r="B1912" s="1775" t="s">
        <v>2317</v>
      </c>
      <c r="C1912" s="1776"/>
      <c r="D1912" s="1777"/>
      <c r="E1912" s="1777"/>
      <c r="F1912" s="1777">
        <f>+H1910*3%</f>
        <v>0</v>
      </c>
      <c r="G1912" s="1777"/>
      <c r="H1912" s="2076"/>
      <c r="I1912" s="2076"/>
      <c r="J1912" s="2081" t="s">
        <v>2316</v>
      </c>
      <c r="K1912" s="1843">
        <v>5</v>
      </c>
      <c r="L1912" s="1848">
        <v>3.6</v>
      </c>
      <c r="M1912" s="1848"/>
      <c r="N1912" s="1848">
        <f>+(10*10)/(162.162)</f>
        <v>0.61666728333394993</v>
      </c>
      <c r="O1912" s="1848">
        <f t="shared" si="196"/>
        <v>11.100011100011098</v>
      </c>
      <c r="P1912" s="1757"/>
      <c r="Q1912" s="1757">
        <f>0.6/0.15+1</f>
        <v>5</v>
      </c>
      <c r="R1912" s="1677">
        <f>1.35/0.15+1</f>
        <v>10.000000000000002</v>
      </c>
    </row>
    <row r="1913" spans="1:18" ht="14.4" x14ac:dyDescent="0.3">
      <c r="A1913" s="1779"/>
      <c r="B1913" s="2723" t="s">
        <v>2112</v>
      </c>
      <c r="C1913" s="2723"/>
      <c r="D1913" s="2723"/>
      <c r="E1913" s="2723"/>
      <c r="F1913" s="1780"/>
      <c r="G1913" s="1781">
        <f>SUM(F1905:F1912)</f>
        <v>129011.92880229707</v>
      </c>
      <c r="H1913" s="2076"/>
      <c r="I1913" s="2076"/>
      <c r="J1913" s="2082" t="s">
        <v>2316</v>
      </c>
      <c r="K1913" s="1852">
        <v>5</v>
      </c>
      <c r="L1913" s="1853">
        <v>1.875</v>
      </c>
      <c r="M1913" s="1853"/>
      <c r="N1913" s="1848">
        <v>0.62</v>
      </c>
      <c r="O1913" s="1848">
        <f t="shared" si="196"/>
        <v>5.8125</v>
      </c>
      <c r="P1913" s="1757"/>
      <c r="Q1913" s="1757">
        <f>+Q1912</f>
        <v>5</v>
      </c>
      <c r="R1913" s="1677">
        <f>2.25/0.15+1</f>
        <v>16</v>
      </c>
    </row>
    <row r="1914" spans="1:18" ht="14.4" x14ac:dyDescent="0.3">
      <c r="A1914" s="1775"/>
      <c r="B1914" s="1778" t="s">
        <v>2098</v>
      </c>
      <c r="C1914" s="1776"/>
      <c r="D1914" s="1777"/>
      <c r="E1914" s="1777"/>
      <c r="F1914" s="1777">
        <f t="shared" ref="F1914" si="197">D1914*E1914</f>
        <v>0</v>
      </c>
      <c r="G1914" s="1777"/>
      <c r="H1914" s="2076"/>
      <c r="I1914" s="2076"/>
      <c r="J1914" s="2082" t="s">
        <v>2316</v>
      </c>
      <c r="K1914" s="1852">
        <v>26</v>
      </c>
      <c r="L1914" s="1853">
        <v>0.55000000000000004</v>
      </c>
      <c r="M1914" s="1853"/>
      <c r="N1914" s="1848">
        <f>+(10*10)/(162.162)</f>
        <v>0.61666728333394993</v>
      </c>
      <c r="O1914" s="1848">
        <f t="shared" si="196"/>
        <v>8.8183421516754841</v>
      </c>
      <c r="P1914" s="1757"/>
      <c r="Q1914" s="1757"/>
      <c r="R1914" s="1677"/>
    </row>
    <row r="1915" spans="1:18" ht="14.4" x14ac:dyDescent="0.3">
      <c r="A1915" s="1775"/>
      <c r="B1915" s="1790" t="s">
        <v>2319</v>
      </c>
      <c r="C1915" s="1777" t="s">
        <v>1995</v>
      </c>
      <c r="D1915" s="1777">
        <v>1</v>
      </c>
      <c r="E1915" s="1777">
        <v>25000</v>
      </c>
      <c r="F1915" s="1777">
        <f>+E1915</f>
        <v>25000</v>
      </c>
      <c r="G1915" s="1777"/>
      <c r="H1915" s="2076" t="s">
        <v>2320</v>
      </c>
      <c r="I1915" s="2076"/>
      <c r="J1915" s="2083"/>
      <c r="K1915" s="1854"/>
      <c r="L1915" s="1855"/>
      <c r="M1915" s="1855"/>
      <c r="N1915" s="1855"/>
      <c r="O1915" s="1856">
        <f>SUM(O1912:O1914)</f>
        <v>25.730853251686582</v>
      </c>
      <c r="P1915" s="1757">
        <f>+O1915</f>
        <v>25.730853251686582</v>
      </c>
      <c r="Q1915" s="1757" t="s">
        <v>134</v>
      </c>
      <c r="R1915" s="1677"/>
    </row>
    <row r="1916" spans="1:18" ht="14.4" x14ac:dyDescent="0.3">
      <c r="A1916" s="1775"/>
      <c r="B1916" s="1775"/>
      <c r="C1916" s="1777"/>
      <c r="D1916" s="1777"/>
      <c r="E1916" s="1777"/>
      <c r="F1916" s="1777"/>
      <c r="G1916" s="1777"/>
      <c r="H1916" s="2076"/>
      <c r="I1916" s="2076"/>
      <c r="J1916" s="2075"/>
      <c r="K1916" s="1857"/>
      <c r="L1916" s="1858"/>
      <c r="M1916" s="1858"/>
      <c r="N1916" s="1858"/>
      <c r="O1916" s="1757"/>
      <c r="P1916" s="1757"/>
      <c r="Q1916" s="1757"/>
      <c r="R1916" s="1677"/>
    </row>
    <row r="1917" spans="1:18" ht="14.4" x14ac:dyDescent="0.3">
      <c r="A1917" s="1779"/>
      <c r="B1917" s="2723" t="s">
        <v>2100</v>
      </c>
      <c r="C1917" s="2723"/>
      <c r="D1917" s="2723"/>
      <c r="E1917" s="2723"/>
      <c r="F1917" s="1780">
        <f t="shared" ref="F1917" si="198">D1917*E1917</f>
        <v>0</v>
      </c>
      <c r="G1917" s="1781">
        <f>SUM(F1915:F1917)</f>
        <v>25000</v>
      </c>
      <c r="H1917" s="2076"/>
      <c r="I1917" s="2076"/>
      <c r="J1917" s="2081" t="s">
        <v>2318</v>
      </c>
      <c r="K1917" s="1843"/>
      <c r="L1917" s="1848">
        <f>+L1906</f>
        <v>2.85</v>
      </c>
      <c r="M1917" s="1848">
        <f>+M1902</f>
        <v>0.6</v>
      </c>
      <c r="N1917" s="1848"/>
      <c r="O1917" s="1848">
        <f t="shared" ref="O1917:O1919" si="199">PRODUCT(K1917:N1917)</f>
        <v>1.71</v>
      </c>
      <c r="P1917" s="1677"/>
      <c r="Q1917" s="1677"/>
      <c r="R1917" s="1677"/>
    </row>
    <row r="1918" spans="1:18" ht="14.4" x14ac:dyDescent="0.3">
      <c r="A1918" s="1775"/>
      <c r="B1918" s="1861"/>
      <c r="C1918" s="1782"/>
      <c r="D1918" s="1782"/>
      <c r="E1918" s="1782"/>
      <c r="F1918" s="1777"/>
      <c r="G1918" s="1782"/>
      <c r="H1918" s="2076"/>
      <c r="I1918" s="2076"/>
      <c r="J1918" s="2081"/>
      <c r="K1918" s="1843"/>
      <c r="L1918" s="1848">
        <f>+L1907</f>
        <v>1.35</v>
      </c>
      <c r="M1918" s="1848">
        <f>+M1903</f>
        <v>0.6</v>
      </c>
      <c r="N1918" s="1848"/>
      <c r="O1918" s="1848">
        <f t="shared" si="199"/>
        <v>0.81</v>
      </c>
      <c r="P1918" s="1677"/>
      <c r="Q1918" s="1677"/>
      <c r="R1918" s="1677"/>
    </row>
    <row r="1919" spans="1:18" ht="14.4" x14ac:dyDescent="0.3">
      <c r="A1919" s="1775"/>
      <c r="B1919" s="1782"/>
      <c r="C1919" s="1782"/>
      <c r="D1919" s="1782"/>
      <c r="E1919" s="1782"/>
      <c r="F1919" s="1777"/>
      <c r="G1919" s="1782"/>
      <c r="H1919" s="2076"/>
      <c r="I1919" s="2076"/>
      <c r="J1919" s="2081"/>
      <c r="K1919" s="1843"/>
      <c r="L1919" s="1848"/>
      <c r="M1919" s="1848">
        <f>+L1908</f>
        <v>4.7750000000000004</v>
      </c>
      <c r="N1919" s="1848">
        <v>0.1</v>
      </c>
      <c r="O1919" s="1853">
        <f t="shared" si="199"/>
        <v>0.47750000000000004</v>
      </c>
      <c r="P1919" s="1859">
        <f>+O1919+O1917</f>
        <v>2.1875</v>
      </c>
      <c r="Q1919" s="1677" t="s">
        <v>692</v>
      </c>
      <c r="R1919" s="1677"/>
    </row>
    <row r="1920" spans="1:18" ht="15" thickBot="1" x14ac:dyDescent="0.35">
      <c r="A1920" s="2716" t="s">
        <v>2322</v>
      </c>
      <c r="B1920" s="2716"/>
      <c r="C1920" s="2716"/>
      <c r="D1920" s="2716"/>
      <c r="E1920" s="2716"/>
      <c r="F1920" s="2716"/>
      <c r="G1920" s="1783">
        <f>G1913+G1917</f>
        <v>154011.92880229707</v>
      </c>
      <c r="H1920" s="2076"/>
      <c r="I1920" s="2076"/>
      <c r="J1920" s="2081"/>
      <c r="K1920" s="1843"/>
      <c r="L1920" s="1848"/>
      <c r="M1920" s="1848"/>
      <c r="N1920" s="1848"/>
      <c r="O1920" s="1865">
        <f>SUM(O1917:O1919)</f>
        <v>2.9975000000000001</v>
      </c>
      <c r="P1920" s="1859"/>
      <c r="Q1920" s="1677"/>
      <c r="R1920" s="1677"/>
    </row>
    <row r="1921" spans="1:18" ht="15.6" thickTop="1" thickBot="1" x14ac:dyDescent="0.35">
      <c r="A1921" s="2716" t="s">
        <v>2128</v>
      </c>
      <c r="B1921" s="2716"/>
      <c r="C1921" s="2716"/>
      <c r="D1921" s="2716"/>
      <c r="E1921" s="2716"/>
      <c r="F1921" s="2716"/>
      <c r="G1921" s="1862">
        <f>G1920/9.29</f>
        <v>16578.24852554328</v>
      </c>
      <c r="H1921" s="2076"/>
      <c r="I1921" s="2076"/>
      <c r="J1921" s="2084" t="s">
        <v>2321</v>
      </c>
      <c r="K1921" s="1843"/>
      <c r="L1921" s="1848"/>
      <c r="M1921" s="1848">
        <f>16*0.3</f>
        <v>4.8</v>
      </c>
      <c r="N1921" s="1848">
        <v>0.6</v>
      </c>
      <c r="O1921" s="1866">
        <f t="shared" ref="O1921" si="200">PRODUCT(K1921:N1921)</f>
        <v>2.88</v>
      </c>
      <c r="P1921" s="1859">
        <f>+O1921</f>
        <v>2.88</v>
      </c>
      <c r="Q1921" s="1677" t="s">
        <v>692</v>
      </c>
      <c r="R1921" s="1677"/>
    </row>
    <row r="1922" spans="1:18" ht="15" thickBot="1" x14ac:dyDescent="0.35">
      <c r="A1922" s="2716" t="s">
        <v>2129</v>
      </c>
      <c r="B1922" s="2716"/>
      <c r="C1922" s="2716"/>
      <c r="D1922" s="2716"/>
      <c r="E1922" s="2716"/>
      <c r="F1922" s="2716"/>
      <c r="G1922" s="1863">
        <f>G1921/10.76</f>
        <v>1540.7294168720521</v>
      </c>
      <c r="H1922" s="2076"/>
      <c r="I1922" s="2076"/>
      <c r="J1922" s="2076"/>
      <c r="K1922" s="1677"/>
      <c r="L1922" s="1677"/>
      <c r="M1922" s="1677"/>
      <c r="N1922" s="1677"/>
      <c r="O1922" s="1867">
        <f>+O1921</f>
        <v>2.88</v>
      </c>
      <c r="P1922" s="1677"/>
      <c r="Q1922" s="1677"/>
      <c r="R1922" s="1677"/>
    </row>
    <row r="1923" spans="1:18" ht="14.4" x14ac:dyDescent="0.3">
      <c r="A1923" s="1677"/>
      <c r="B1923" s="1677"/>
      <c r="C1923" s="1677"/>
      <c r="D1923" s="1677"/>
      <c r="E1923" s="1677"/>
      <c r="F1923" s="1677"/>
      <c r="G1923" s="1677"/>
      <c r="H1923" s="2076"/>
      <c r="I1923" s="2076"/>
      <c r="J1923" s="2076"/>
      <c r="K1923" s="1677"/>
      <c r="L1923" s="1677"/>
      <c r="M1923" s="1677"/>
      <c r="N1923" s="1677"/>
      <c r="O1923" s="1677"/>
      <c r="P1923" s="1677"/>
      <c r="Q1923" s="1677"/>
      <c r="R1923" s="1677"/>
    </row>
    <row r="1924" spans="1:18" ht="14.4" x14ac:dyDescent="0.3">
      <c r="A1924" s="1677"/>
      <c r="B1924" s="1677"/>
      <c r="C1924" s="1677"/>
      <c r="D1924" s="1677"/>
      <c r="E1924" s="1677"/>
      <c r="F1924" s="1677"/>
      <c r="G1924" s="1677"/>
      <c r="H1924" s="2076"/>
      <c r="I1924" s="2076"/>
      <c r="J1924" s="2076"/>
      <c r="K1924" s="1677">
        <f>15*0.3</f>
        <v>4.5</v>
      </c>
      <c r="L1924" s="1677"/>
      <c r="M1924" s="1677"/>
      <c r="N1924" s="1677"/>
      <c r="O1924" s="1677"/>
      <c r="P1924" s="1677"/>
      <c r="Q1924" s="1677"/>
      <c r="R1924" s="1677"/>
    </row>
    <row r="1925" spans="1:18" ht="15" thickBot="1" x14ac:dyDescent="0.35">
      <c r="A1925" s="1677"/>
      <c r="B1925" s="1677"/>
      <c r="C1925" s="1677"/>
      <c r="D1925" s="1677"/>
      <c r="E1925" s="1677"/>
      <c r="F1925" s="1677"/>
      <c r="G1925" s="1677"/>
      <c r="H1925" s="2076">
        <f>7*0.3</f>
        <v>2.1</v>
      </c>
      <c r="I1925" s="2076"/>
      <c r="J1925" s="2076"/>
      <c r="K1925" s="1677">
        <f>11*25</f>
        <v>275</v>
      </c>
      <c r="L1925" s="1677"/>
      <c r="M1925" s="1677"/>
      <c r="N1925" s="1677"/>
      <c r="O1925" s="1677"/>
      <c r="P1925" s="1677"/>
      <c r="Q1925" s="1677"/>
      <c r="R1925" s="1677"/>
    </row>
    <row r="1926" spans="1:18" ht="14.4" x14ac:dyDescent="0.3">
      <c r="A1926" s="2717" t="s">
        <v>2324</v>
      </c>
      <c r="B1926" s="2718"/>
      <c r="C1926" s="2718"/>
      <c r="D1926" s="2718"/>
      <c r="E1926" s="2718"/>
      <c r="F1926" s="2718"/>
      <c r="G1926" s="2719"/>
      <c r="H1926" s="2076">
        <f>9*25</f>
        <v>225</v>
      </c>
      <c r="I1926" s="2076"/>
      <c r="J1926" s="2079"/>
      <c r="K1926" s="1837" t="s">
        <v>0</v>
      </c>
      <c r="L1926" s="1735" t="s">
        <v>2167</v>
      </c>
      <c r="M1926" s="1735" t="s">
        <v>2306</v>
      </c>
      <c r="N1926" s="1735" t="s">
        <v>2307</v>
      </c>
      <c r="O1926" s="1794" t="s">
        <v>2097</v>
      </c>
      <c r="P1926" s="1838"/>
      <c r="Q1926" s="1757"/>
      <c r="R1926" s="1677"/>
    </row>
    <row r="1927" spans="1:18" ht="15" thickBot="1" x14ac:dyDescent="0.35">
      <c r="A1927" s="2720" t="s">
        <v>2308</v>
      </c>
      <c r="B1927" s="2721"/>
      <c r="C1927" s="2721"/>
      <c r="D1927" s="2721"/>
      <c r="E1927" s="2721"/>
      <c r="F1927" s="2721"/>
      <c r="G1927" s="2722"/>
      <c r="H1927" s="2076"/>
      <c r="I1927" s="2076"/>
      <c r="J1927" s="2080"/>
      <c r="K1927" s="1840"/>
      <c r="L1927" s="1841"/>
      <c r="M1927" s="1841"/>
      <c r="N1927" s="1841"/>
      <c r="O1927" s="1839"/>
      <c r="P1927" s="1757"/>
      <c r="Q1927" s="1757"/>
      <c r="R1927" s="1677"/>
    </row>
    <row r="1928" spans="1:18" ht="15" thickBot="1" x14ac:dyDescent="0.35">
      <c r="A1928" s="1773"/>
      <c r="B1928" s="1774" t="s">
        <v>2094</v>
      </c>
      <c r="C1928" s="1774" t="s">
        <v>2095</v>
      </c>
      <c r="D1928" s="1774" t="s">
        <v>2</v>
      </c>
      <c r="E1928" s="1774" t="s">
        <v>2096</v>
      </c>
      <c r="F1928" s="1774" t="s">
        <v>5</v>
      </c>
      <c r="G1928" s="1774" t="s">
        <v>2097</v>
      </c>
      <c r="H1928" s="2076"/>
      <c r="I1928" s="2076"/>
      <c r="J1928" s="2081" t="s">
        <v>2309</v>
      </c>
      <c r="K1928" s="1843"/>
      <c r="L1928" s="1844">
        <v>2.3250000000000002</v>
      </c>
      <c r="M1928" s="1844">
        <v>0.6</v>
      </c>
      <c r="N1928" s="1845">
        <v>0.1</v>
      </c>
      <c r="O1928" s="1846">
        <f>PRODUCT(K1928:N1928)</f>
        <v>0.13950000000000001</v>
      </c>
      <c r="P1928" s="1757">
        <f>+O1928</f>
        <v>0.13950000000000001</v>
      </c>
      <c r="Q1928" s="1757" t="s">
        <v>693</v>
      </c>
      <c r="R1928" s="1677"/>
    </row>
    <row r="1929" spans="1:18" ht="14.4" x14ac:dyDescent="0.3">
      <c r="A1929" s="1775"/>
      <c r="B1929" s="1775"/>
      <c r="C1929" s="1776"/>
      <c r="D1929" s="1777"/>
      <c r="E1929" s="1777"/>
      <c r="F1929" s="1777"/>
      <c r="G1929" s="1777"/>
      <c r="H1929" s="2076"/>
      <c r="I1929" s="2076"/>
      <c r="J1929" s="2081"/>
      <c r="K1929" s="1843"/>
      <c r="L1929" s="1845"/>
      <c r="M1929" s="1845"/>
      <c r="N1929" s="1845"/>
      <c r="O1929" s="1842">
        <f t="shared" ref="O1929:O1931" si="201">PRODUCT(K1929:N1929)</f>
        <v>0</v>
      </c>
      <c r="P1929" s="1757">
        <f>P1928/2.83</f>
        <v>4.9293286219081273E-2</v>
      </c>
      <c r="Q1929" s="1757" t="s">
        <v>131</v>
      </c>
      <c r="R1929" s="1677"/>
    </row>
    <row r="1930" spans="1:18" ht="14.4" x14ac:dyDescent="0.3">
      <c r="A1930" s="1775"/>
      <c r="B1930" s="1775" t="s">
        <v>2310</v>
      </c>
      <c r="C1930" s="1777" t="s">
        <v>693</v>
      </c>
      <c r="D1930" s="1777">
        <f>P1929</f>
        <v>4.9293286219081273E-2</v>
      </c>
      <c r="E1930" s="1777">
        <f>E1905</f>
        <v>63871.25</v>
      </c>
      <c r="F1930" s="1777">
        <f t="shared" ref="F1930" si="202">D1930*E1930</f>
        <v>3148.4238074204945</v>
      </c>
      <c r="G1930" s="1777"/>
      <c r="H1930" s="2076"/>
      <c r="I1930" s="2076"/>
      <c r="J1930" s="2081" t="s">
        <v>2311</v>
      </c>
      <c r="K1930" s="1843"/>
      <c r="L1930" s="1847">
        <f>+L1928</f>
        <v>2.3250000000000002</v>
      </c>
      <c r="M1930" s="1847">
        <f>+M1928</f>
        <v>0.6</v>
      </c>
      <c r="N1930" s="1848"/>
      <c r="O1930" s="1842">
        <f t="shared" si="201"/>
        <v>1.395</v>
      </c>
      <c r="P1930" s="1757"/>
      <c r="Q1930" s="1757">
        <f>+O1930*10.76</f>
        <v>15.010199999999999</v>
      </c>
      <c r="R1930" s="1677"/>
    </row>
    <row r="1931" spans="1:18" ht="14.4" x14ac:dyDescent="0.3">
      <c r="A1931" s="1775"/>
      <c r="B1931" s="1790" t="s">
        <v>2150</v>
      </c>
      <c r="C1931" s="1776"/>
      <c r="D1931" s="1777"/>
      <c r="E1931" s="1777"/>
      <c r="F1931" s="1777">
        <f>F1930*10%</f>
        <v>314.8423807420495</v>
      </c>
      <c r="G1931" s="1777"/>
      <c r="H1931" s="2076"/>
      <c r="I1931" s="2076"/>
      <c r="J1931" s="2081"/>
      <c r="K1931" s="1843"/>
      <c r="L1931" s="1847">
        <f>+L1930</f>
        <v>2.3250000000000002</v>
      </c>
      <c r="M1931" s="1848"/>
      <c r="N1931" s="1848">
        <v>0.1</v>
      </c>
      <c r="O1931" s="1849">
        <f t="shared" si="201"/>
        <v>0.23250000000000004</v>
      </c>
      <c r="P1931" s="1757"/>
      <c r="Q1931" s="1757"/>
      <c r="R1931" s="1677"/>
    </row>
    <row r="1932" spans="1:18" ht="14.4" x14ac:dyDescent="0.3">
      <c r="A1932" s="1775"/>
      <c r="B1932" s="1775" t="s">
        <v>2160</v>
      </c>
      <c r="C1932" s="1777" t="s">
        <v>2312</v>
      </c>
      <c r="D1932" s="1777">
        <f>+P1937</f>
        <v>12.780429447096113</v>
      </c>
      <c r="E1932" s="1777">
        <f>E1907</f>
        <v>442.34015625000001</v>
      </c>
      <c r="F1932" s="1777">
        <f t="shared" ref="F1932:F1936" si="203">D1932*E1932</f>
        <v>5653.2971585705955</v>
      </c>
      <c r="G1932" s="1777"/>
      <c r="H1932" s="2076"/>
      <c r="I1932" s="2076"/>
      <c r="J1932" s="2081"/>
      <c r="K1932" s="1843"/>
      <c r="L1932" s="1848"/>
      <c r="M1932" s="1848"/>
      <c r="N1932" s="1848"/>
      <c r="O1932" s="1850">
        <f>SUM(O1930:O1931)</f>
        <v>1.6274999999999999</v>
      </c>
      <c r="P1932" s="1757">
        <f>SUM(O1932)</f>
        <v>1.6274999999999999</v>
      </c>
      <c r="Q1932" s="1757" t="s">
        <v>692</v>
      </c>
      <c r="R1932" s="1677"/>
    </row>
    <row r="1933" spans="1:18" ht="14.4" x14ac:dyDescent="0.3">
      <c r="A1933" s="1775"/>
      <c r="B1933" s="1775" t="s">
        <v>2313</v>
      </c>
      <c r="C1933" s="1777" t="s">
        <v>692</v>
      </c>
      <c r="D1933" s="1777">
        <f>+O1932</f>
        <v>1.6274999999999999</v>
      </c>
      <c r="E1933" s="1777"/>
      <c r="F1933" s="1777">
        <f t="shared" si="203"/>
        <v>0</v>
      </c>
      <c r="G1933" s="1777"/>
      <c r="H1933" s="2076"/>
      <c r="I1933" s="2076"/>
      <c r="J1933" s="2081"/>
      <c r="K1933" s="1843"/>
      <c r="L1933" s="1848"/>
      <c r="M1933" s="1848"/>
      <c r="N1933" s="1848"/>
      <c r="O1933" s="1851"/>
      <c r="P1933" s="1757"/>
      <c r="Q1933" s="1757"/>
      <c r="R1933" s="1677"/>
    </row>
    <row r="1934" spans="1:18" ht="14.4" x14ac:dyDescent="0.3">
      <c r="A1934" s="1775"/>
      <c r="B1934" s="1790" t="s">
        <v>2314</v>
      </c>
      <c r="C1934" s="1777" t="s">
        <v>692</v>
      </c>
      <c r="D1934" s="1777">
        <f>+P1942</f>
        <v>2.1150000000000002</v>
      </c>
      <c r="E1934" s="1777"/>
      <c r="F1934" s="1777">
        <f t="shared" si="203"/>
        <v>0</v>
      </c>
      <c r="G1934" s="1777"/>
      <c r="H1934" s="2076"/>
      <c r="I1934" s="2076"/>
      <c r="J1934" s="2081" t="s">
        <v>2160</v>
      </c>
      <c r="K1934" s="1843"/>
      <c r="L1934" s="1848"/>
      <c r="M1934" s="1848"/>
      <c r="N1934" s="1848"/>
      <c r="O1934" s="1848">
        <f t="shared" ref="O1934:O1936" si="204">PRODUCT(K1934:N1934)</f>
        <v>0</v>
      </c>
      <c r="P1934" s="1757"/>
      <c r="Q1934" s="1757"/>
      <c r="R1934" s="1677"/>
    </row>
    <row r="1935" spans="1:18" ht="14.4" x14ac:dyDescent="0.3">
      <c r="A1935" s="1775"/>
      <c r="B1935" s="1790" t="s">
        <v>2315</v>
      </c>
      <c r="C1935" s="1777" t="s">
        <v>692</v>
      </c>
      <c r="D1935" s="1777">
        <f>+O1941</f>
        <v>1.6274999999999999</v>
      </c>
      <c r="E1935" s="1777">
        <f>E1910</f>
        <v>1642.7173035522069</v>
      </c>
      <c r="F1935" s="1777">
        <f t="shared" si="203"/>
        <v>2673.5224115312167</v>
      </c>
      <c r="G1935" s="1777"/>
      <c r="H1935" s="2076"/>
      <c r="I1935" s="2076"/>
      <c r="J1935" s="2081" t="s">
        <v>2316</v>
      </c>
      <c r="K1935" s="1843">
        <v>5</v>
      </c>
      <c r="L1935" s="1848">
        <v>2.2749999999999999</v>
      </c>
      <c r="M1935" s="1848"/>
      <c r="N1935" s="1848">
        <f>+(10*10)/(162.162)</f>
        <v>0.61666728333394993</v>
      </c>
      <c r="O1935" s="1848">
        <f t="shared" si="204"/>
        <v>7.0145903479236802</v>
      </c>
      <c r="P1935" s="1757"/>
      <c r="Q1935" s="1757">
        <f>0.6/0.15+1</f>
        <v>5</v>
      </c>
      <c r="R1935" s="1677"/>
    </row>
    <row r="1936" spans="1:18" ht="14.4" x14ac:dyDescent="0.3">
      <c r="A1936" s="1775"/>
      <c r="B1936" s="1776" t="s">
        <v>1061</v>
      </c>
      <c r="C1936" s="1777" t="s">
        <v>2126</v>
      </c>
      <c r="D1936" s="1777">
        <f>+O1930*10.76</f>
        <v>15.010199999999999</v>
      </c>
      <c r="E1936" s="1777">
        <v>4000</v>
      </c>
      <c r="F1936" s="1777">
        <f t="shared" si="203"/>
        <v>60040.799999999996</v>
      </c>
      <c r="G1936" s="1777"/>
      <c r="H1936" s="2076"/>
      <c r="I1936" s="2076"/>
      <c r="J1936" s="2082" t="s">
        <v>2316</v>
      </c>
      <c r="K1936" s="1852">
        <v>17</v>
      </c>
      <c r="L1936" s="1853">
        <v>0.55000000000000004</v>
      </c>
      <c r="M1936" s="1853"/>
      <c r="N1936" s="1848">
        <f>+(10*10)/(162.162)</f>
        <v>0.61666728333394993</v>
      </c>
      <c r="O1936" s="1848">
        <f t="shared" si="204"/>
        <v>5.7658390991724326</v>
      </c>
      <c r="P1936" s="1757"/>
      <c r="Q1936" s="1757">
        <f>2.325/0.15+1</f>
        <v>16.5</v>
      </c>
      <c r="R1936" s="1677"/>
    </row>
    <row r="1937" spans="1:18" ht="14.4" x14ac:dyDescent="0.3">
      <c r="A1937" s="1775"/>
      <c r="B1937" s="1775" t="s">
        <v>2317</v>
      </c>
      <c r="C1937" s="1776"/>
      <c r="D1937" s="1777"/>
      <c r="E1937" s="1777"/>
      <c r="F1937" s="1777">
        <f>+H1936*3%</f>
        <v>0</v>
      </c>
      <c r="G1937" s="1777"/>
      <c r="H1937" s="2076"/>
      <c r="I1937" s="2076"/>
      <c r="J1937" s="2083"/>
      <c r="K1937" s="1854"/>
      <c r="L1937" s="1855"/>
      <c r="M1937" s="1855"/>
      <c r="N1937" s="1855"/>
      <c r="O1937" s="1856">
        <f>SUM(O1935:O1936)</f>
        <v>12.780429447096113</v>
      </c>
      <c r="P1937" s="1757">
        <f>+O1937</f>
        <v>12.780429447096113</v>
      </c>
      <c r="Q1937" s="1757" t="s">
        <v>134</v>
      </c>
      <c r="R1937" s="1677"/>
    </row>
    <row r="1938" spans="1:18" ht="14.4" x14ac:dyDescent="0.3">
      <c r="A1938" s="1779"/>
      <c r="B1938" s="2723" t="s">
        <v>2112</v>
      </c>
      <c r="C1938" s="2723"/>
      <c r="D1938" s="2723"/>
      <c r="E1938" s="2723"/>
      <c r="F1938" s="1780"/>
      <c r="G1938" s="1781">
        <f>SUM(F1930:F1937)</f>
        <v>71830.885758264354</v>
      </c>
      <c r="H1938" s="2076"/>
      <c r="I1938" s="2076"/>
      <c r="J1938" s="2075"/>
      <c r="K1938" s="1857"/>
      <c r="L1938" s="1858"/>
      <c r="M1938" s="1858"/>
      <c r="N1938" s="1858"/>
      <c r="O1938" s="1757"/>
      <c r="P1938" s="1757"/>
      <c r="Q1938" s="1757"/>
      <c r="R1938" s="1677"/>
    </row>
    <row r="1939" spans="1:18" ht="14.4" x14ac:dyDescent="0.3">
      <c r="A1939" s="1775"/>
      <c r="B1939" s="1778" t="s">
        <v>2098</v>
      </c>
      <c r="C1939" s="1776"/>
      <c r="D1939" s="1777"/>
      <c r="E1939" s="1777"/>
      <c r="F1939" s="1777">
        <f t="shared" ref="F1939" si="205">D1939*E1939</f>
        <v>0</v>
      </c>
      <c r="G1939" s="1777"/>
      <c r="H1939" s="2076"/>
      <c r="I1939" s="2076"/>
      <c r="J1939" s="2084" t="s">
        <v>2318</v>
      </c>
      <c r="K1939" s="1843"/>
      <c r="L1939" s="1848">
        <f>+L1928</f>
        <v>2.3250000000000002</v>
      </c>
      <c r="M1939" s="1848">
        <f>+M1928</f>
        <v>0.6</v>
      </c>
      <c r="N1939" s="1848"/>
      <c r="O1939" s="1848">
        <f t="shared" ref="O1939:O1940" si="206">PRODUCT(K1939:N1939)</f>
        <v>1.395</v>
      </c>
      <c r="P1939" s="1677"/>
      <c r="Q1939" s="1677"/>
      <c r="R1939" s="1677"/>
    </row>
    <row r="1940" spans="1:18" ht="14.4" x14ac:dyDescent="0.3">
      <c r="A1940" s="1775"/>
      <c r="B1940" s="1790" t="s">
        <v>2319</v>
      </c>
      <c r="C1940" s="1777" t="s">
        <v>1995</v>
      </c>
      <c r="D1940" s="1777">
        <v>1</v>
      </c>
      <c r="E1940" s="1777">
        <v>15000</v>
      </c>
      <c r="F1940" s="1777">
        <f>+E1940</f>
        <v>15000</v>
      </c>
      <c r="G1940" s="1777"/>
      <c r="H1940" s="2076" t="s">
        <v>2320</v>
      </c>
      <c r="I1940" s="2076"/>
      <c r="J1940" s="2081"/>
      <c r="K1940" s="1843"/>
      <c r="L1940" s="1848"/>
      <c r="M1940" s="1848">
        <f>+L1939</f>
        <v>2.3250000000000002</v>
      </c>
      <c r="N1940" s="1848">
        <v>0.1</v>
      </c>
      <c r="O1940" s="1853">
        <f t="shared" si="206"/>
        <v>0.23250000000000004</v>
      </c>
      <c r="P1940" s="1859">
        <f>+O1940+O1939</f>
        <v>1.6274999999999999</v>
      </c>
      <c r="Q1940" s="1677" t="s">
        <v>692</v>
      </c>
      <c r="R1940" s="1677"/>
    </row>
    <row r="1941" spans="1:18" ht="14.4" x14ac:dyDescent="0.3">
      <c r="A1941" s="1775"/>
      <c r="B1941" s="1775"/>
      <c r="C1941" s="1777"/>
      <c r="D1941" s="1777"/>
      <c r="E1941" s="1777"/>
      <c r="F1941" s="1777"/>
      <c r="G1941" s="1777"/>
      <c r="H1941" s="2076"/>
      <c r="I1941" s="2076"/>
      <c r="J1941" s="2081"/>
      <c r="K1941" s="1843"/>
      <c r="L1941" s="1848"/>
      <c r="M1941" s="1848"/>
      <c r="N1941" s="1848"/>
      <c r="O1941" s="1860">
        <f>SUM(O1939:O1940)</f>
        <v>1.6274999999999999</v>
      </c>
      <c r="P1941" s="1859"/>
      <c r="Q1941" s="1677"/>
      <c r="R1941" s="1677"/>
    </row>
    <row r="1942" spans="1:18" ht="14.4" x14ac:dyDescent="0.3">
      <c r="A1942" s="1779"/>
      <c r="B1942" s="2723" t="s">
        <v>2100</v>
      </c>
      <c r="C1942" s="2723"/>
      <c r="D1942" s="2723"/>
      <c r="E1942" s="2723"/>
      <c r="F1942" s="1780">
        <f t="shared" ref="F1942" si="207">D1942*E1942</f>
        <v>0</v>
      </c>
      <c r="G1942" s="1781">
        <f>SUM(F1940:F1942)</f>
        <v>15000</v>
      </c>
      <c r="H1942" s="2076"/>
      <c r="I1942" s="2076"/>
      <c r="J1942" s="2084" t="s">
        <v>2321</v>
      </c>
      <c r="K1942" s="1843"/>
      <c r="L1942" s="1848"/>
      <c r="M1942" s="1848">
        <f>+L1931+0.6+0.6</f>
        <v>3.5250000000000004</v>
      </c>
      <c r="N1942" s="1848">
        <v>0.6</v>
      </c>
      <c r="O1942" s="1848">
        <f t="shared" ref="O1942" si="208">PRODUCT(K1942:N1942)</f>
        <v>2.1150000000000002</v>
      </c>
      <c r="P1942" s="1859">
        <f>+O1942</f>
        <v>2.1150000000000002</v>
      </c>
      <c r="Q1942" s="1677" t="s">
        <v>692</v>
      </c>
      <c r="R1942" s="1677"/>
    </row>
    <row r="1943" spans="1:18" ht="14.4" x14ac:dyDescent="0.3">
      <c r="A1943" s="1775"/>
      <c r="B1943" s="1861"/>
      <c r="C1943" s="1782"/>
      <c r="D1943" s="1782"/>
      <c r="E1943" s="1782"/>
      <c r="F1943" s="1777"/>
      <c r="G1943" s="1782"/>
      <c r="H1943" s="2076"/>
      <c r="I1943" s="2076"/>
      <c r="J1943" s="2076"/>
      <c r="K1943" s="1677"/>
      <c r="L1943" s="1677"/>
      <c r="M1943" s="1677"/>
      <c r="N1943" s="1677"/>
      <c r="O1943" s="1677"/>
      <c r="P1943" s="1677"/>
      <c r="Q1943" s="1677"/>
      <c r="R1943" s="1677"/>
    </row>
    <row r="1944" spans="1:18" ht="14.4" x14ac:dyDescent="0.3">
      <c r="A1944" s="1775"/>
      <c r="B1944" s="1782"/>
      <c r="C1944" s="1782"/>
      <c r="D1944" s="1782"/>
      <c r="E1944" s="1782"/>
      <c r="F1944" s="1777"/>
      <c r="G1944" s="1782"/>
      <c r="H1944" s="2076"/>
      <c r="I1944" s="2076"/>
      <c r="J1944" s="2076"/>
      <c r="K1944" s="1677"/>
      <c r="L1944" s="1677"/>
      <c r="M1944" s="1677"/>
      <c r="N1944" s="1677"/>
      <c r="O1944" s="1677"/>
      <c r="P1944" s="1677"/>
      <c r="Q1944" s="1677"/>
      <c r="R1944" s="1677"/>
    </row>
    <row r="1945" spans="1:18" ht="14.4" x14ac:dyDescent="0.3">
      <c r="A1945" s="2716" t="s">
        <v>2322</v>
      </c>
      <c r="B1945" s="2716"/>
      <c r="C1945" s="2716"/>
      <c r="D1945" s="2716"/>
      <c r="E1945" s="2716"/>
      <c r="F1945" s="2716"/>
      <c r="G1945" s="1783">
        <f>G1938+G1942</f>
        <v>86830.885758264354</v>
      </c>
      <c r="H1945" s="2076"/>
      <c r="I1945" s="2076"/>
      <c r="J1945" s="2076"/>
      <c r="K1945" s="1677"/>
      <c r="L1945" s="1677"/>
      <c r="M1945" s="1677"/>
      <c r="N1945" s="1677"/>
      <c r="O1945" s="1677"/>
      <c r="P1945" s="1677"/>
      <c r="Q1945" s="1677"/>
      <c r="R1945" s="1677"/>
    </row>
    <row r="1946" spans="1:18" ht="15" thickBot="1" x14ac:dyDescent="0.35">
      <c r="A1946" s="2716" t="s">
        <v>2128</v>
      </c>
      <c r="B1946" s="2716"/>
      <c r="C1946" s="2716"/>
      <c r="D1946" s="2716"/>
      <c r="E1946" s="2716"/>
      <c r="F1946" s="2716"/>
      <c r="G1946" s="1862">
        <f>G1945/9.29</f>
        <v>9346.7046026118805</v>
      </c>
      <c r="H1946" s="2076"/>
      <c r="I1946" s="2076"/>
      <c r="J1946" s="2076"/>
      <c r="K1946" s="1677"/>
      <c r="L1946" s="1677"/>
      <c r="M1946" s="1677"/>
      <c r="N1946" s="1677"/>
      <c r="O1946" s="1677"/>
      <c r="P1946" s="1677"/>
      <c r="Q1946" s="1677"/>
      <c r="R1946" s="1677"/>
    </row>
    <row r="1947" spans="1:18" ht="15" thickBot="1" x14ac:dyDescent="0.35">
      <c r="A1947" s="2716" t="s">
        <v>2129</v>
      </c>
      <c r="B1947" s="2716"/>
      <c r="C1947" s="2716"/>
      <c r="D1947" s="2716"/>
      <c r="E1947" s="2716"/>
      <c r="F1947" s="2716"/>
      <c r="G1947" s="1863">
        <f>G1946/10.76</f>
        <v>868.65284410891081</v>
      </c>
      <c r="H1947" s="2076"/>
      <c r="I1947" s="2076"/>
      <c r="J1947" s="2076"/>
      <c r="K1947" s="1677"/>
      <c r="L1947" s="1677"/>
      <c r="M1947" s="1677"/>
      <c r="N1947" s="1677"/>
      <c r="O1947" s="1677"/>
      <c r="P1947" s="1677"/>
      <c r="Q1947" s="1677"/>
      <c r="R1947" s="1677"/>
    </row>
    <row r="1954" spans="1:7" ht="13.8" thickBot="1" x14ac:dyDescent="0.3"/>
    <row r="1955" spans="1:7" ht="13.8" x14ac:dyDescent="0.25">
      <c r="A1955" s="2746" t="s">
        <v>2351</v>
      </c>
      <c r="B1955" s="2747"/>
      <c r="C1955" s="2747"/>
      <c r="D1955" s="2747"/>
      <c r="E1955" s="2747"/>
      <c r="F1955" s="2747"/>
      <c r="G1955" s="2748"/>
    </row>
    <row r="1956" spans="1:7" ht="14.4" thickBot="1" x14ac:dyDescent="0.3">
      <c r="A1956" s="2720" t="s">
        <v>2436</v>
      </c>
      <c r="B1956" s="2721"/>
      <c r="C1956" s="2721"/>
      <c r="D1956" s="2721"/>
      <c r="E1956" s="2721"/>
      <c r="F1956" s="2721"/>
      <c r="G1956" s="2722"/>
    </row>
    <row r="1957" spans="1:7" ht="14.4" thickBot="1" x14ac:dyDescent="0.3">
      <c r="A1957" s="1773"/>
      <c r="B1957" s="1774" t="s">
        <v>2094</v>
      </c>
      <c r="C1957" s="1774" t="s">
        <v>2095</v>
      </c>
      <c r="D1957" s="1774" t="s">
        <v>2</v>
      </c>
      <c r="E1957" s="1774" t="s">
        <v>2096</v>
      </c>
      <c r="F1957" s="1774" t="s">
        <v>5</v>
      </c>
      <c r="G1957" s="1774" t="s">
        <v>2097</v>
      </c>
    </row>
    <row r="1958" spans="1:7" ht="13.8" x14ac:dyDescent="0.25">
      <c r="A1958" s="1775"/>
      <c r="B1958" s="1775"/>
      <c r="C1958" s="1776"/>
      <c r="D1958" s="1777"/>
      <c r="E1958" s="1777"/>
      <c r="F1958" s="1777"/>
      <c r="G1958" s="1777"/>
    </row>
    <row r="1959" spans="1:7" ht="13.8" x14ac:dyDescent="0.25">
      <c r="A1959" s="1775"/>
      <c r="B1959" s="1778" t="s">
        <v>2437</v>
      </c>
      <c r="C1959" s="1776"/>
      <c r="D1959" s="1777"/>
      <c r="E1959" s="1777"/>
      <c r="F1959" s="1777"/>
      <c r="G1959" s="1777"/>
    </row>
    <row r="1960" spans="1:7" ht="13.8" x14ac:dyDescent="0.25">
      <c r="A1960" s="1775"/>
      <c r="B1960" s="1775" t="s">
        <v>2438</v>
      </c>
      <c r="C1960" s="1777" t="s">
        <v>3</v>
      </c>
      <c r="D1960" s="1777">
        <v>1</v>
      </c>
      <c r="E1960" s="1777">
        <v>290000</v>
      </c>
      <c r="F1960" s="1777">
        <f>D1960*E1960</f>
        <v>290000</v>
      </c>
      <c r="G1960" s="1777"/>
    </row>
    <row r="1961" spans="1:7" ht="13.8" x14ac:dyDescent="0.25">
      <c r="A1961" s="1788"/>
      <c r="B1961" s="1788"/>
      <c r="C1961" s="1789"/>
      <c r="D1961" s="1789"/>
      <c r="E1961" s="1789">
        <f>+F1893</f>
        <v>0</v>
      </c>
      <c r="F1961" s="1789">
        <f t="shared" ref="F1961" si="209">D1961*E1961</f>
        <v>0</v>
      </c>
      <c r="G1961" s="1789"/>
    </row>
    <row r="1962" spans="1:7" ht="13.8" x14ac:dyDescent="0.25">
      <c r="A1962" s="1788"/>
      <c r="B1962" s="1788"/>
      <c r="C1962" s="1789"/>
      <c r="D1962" s="1789"/>
      <c r="E1962" s="1789"/>
      <c r="F1962" s="1777"/>
      <c r="G1962" s="1789"/>
    </row>
    <row r="1963" spans="1:7" ht="13.8" x14ac:dyDescent="0.25">
      <c r="A1963" s="1788"/>
      <c r="B1963" s="1788"/>
      <c r="C1963" s="1789"/>
      <c r="D1963" s="1789"/>
      <c r="E1963" s="1789"/>
      <c r="F1963" s="1777"/>
      <c r="G1963" s="1789"/>
    </row>
    <row r="1964" spans="1:7" ht="13.8" x14ac:dyDescent="0.25">
      <c r="A1964" s="1788"/>
      <c r="B1964" s="1788"/>
      <c r="C1964" s="1789"/>
      <c r="D1964" s="1789"/>
      <c r="E1964" s="1789"/>
      <c r="F1964" s="1777"/>
      <c r="G1964" s="1789"/>
    </row>
    <row r="1965" spans="1:7" ht="13.8" x14ac:dyDescent="0.25">
      <c r="A1965" s="1788"/>
      <c r="B1965" s="1788"/>
      <c r="C1965" s="1789"/>
      <c r="D1965" s="1789"/>
      <c r="E1965" s="1789"/>
      <c r="F1965" s="1789"/>
      <c r="G1965" s="1789"/>
    </row>
    <row r="1966" spans="1:7" ht="13.8" x14ac:dyDescent="0.25">
      <c r="A1966" s="1779"/>
      <c r="B1966" s="2723" t="s">
        <v>2112</v>
      </c>
      <c r="C1966" s="2723"/>
      <c r="D1966" s="2723"/>
      <c r="E1966" s="2723"/>
      <c r="F1966" s="1780"/>
      <c r="G1966" s="1932">
        <f>SUM(F1958:F1965)</f>
        <v>290000</v>
      </c>
    </row>
    <row r="1967" spans="1:7" ht="13.8" x14ac:dyDescent="0.25">
      <c r="A1967" s="1775"/>
      <c r="B1967" s="1778" t="s">
        <v>2098</v>
      </c>
      <c r="C1967" s="1776"/>
      <c r="D1967" s="1777"/>
      <c r="E1967" s="1777"/>
      <c r="F1967" s="1777">
        <f>D1967*E1967</f>
        <v>0</v>
      </c>
      <c r="G1967" s="1777"/>
    </row>
    <row r="1968" spans="1:7" ht="13.8" x14ac:dyDescent="0.25">
      <c r="A1968" s="1788"/>
      <c r="B1968" s="1823"/>
      <c r="C1968" s="1714"/>
      <c r="D1968" s="1789"/>
      <c r="E1968" s="1789"/>
      <c r="F1968" s="1789"/>
      <c r="G1968" s="1789"/>
    </row>
    <row r="1969" spans="1:7" ht="13.8" x14ac:dyDescent="0.25">
      <c r="A1969" s="1788"/>
      <c r="B1969" s="1788" t="s">
        <v>2439</v>
      </c>
      <c r="C1969" s="1789" t="s">
        <v>3</v>
      </c>
      <c r="D1969" s="1789">
        <v>1</v>
      </c>
      <c r="E1969" s="1789">
        <v>180000</v>
      </c>
      <c r="F1969" s="1789">
        <f>D1969*E1969</f>
        <v>180000</v>
      </c>
      <c r="G1969" s="1789"/>
    </row>
    <row r="1970" spans="1:7" ht="13.8" x14ac:dyDescent="0.25">
      <c r="A1970" s="1788"/>
      <c r="B1970" s="1788"/>
      <c r="C1970" s="1789"/>
      <c r="D1970" s="1789"/>
      <c r="E1970" s="1789"/>
      <c r="F1970" s="1789"/>
      <c r="G1970" s="1789"/>
    </row>
    <row r="1971" spans="1:7" ht="13.8" x14ac:dyDescent="0.25">
      <c r="A1971" s="1775"/>
      <c r="B1971" s="1775" t="s">
        <v>2228</v>
      </c>
      <c r="C1971" s="1777"/>
      <c r="D1971" s="1777"/>
      <c r="E1971" s="1777"/>
      <c r="F1971" s="1777">
        <f>F1969*3%</f>
        <v>5400</v>
      </c>
      <c r="G1971" s="1777"/>
    </row>
    <row r="1972" spans="1:7" ht="13.8" x14ac:dyDescent="0.25">
      <c r="A1972" s="1775"/>
      <c r="B1972" s="1775" t="s">
        <v>2232</v>
      </c>
      <c r="C1972" s="1777"/>
      <c r="D1972" s="1777"/>
      <c r="E1972" s="1777"/>
      <c r="F1972" s="1777">
        <f>F1969*5%</f>
        <v>9000</v>
      </c>
      <c r="G1972" s="1777"/>
    </row>
    <row r="1973" spans="1:7" ht="13.8" x14ac:dyDescent="0.25">
      <c r="A1973" s="1775"/>
      <c r="B1973" s="1775"/>
      <c r="C1973" s="1776"/>
      <c r="D1973" s="1777"/>
      <c r="E1973" s="1777"/>
      <c r="F1973" s="1777"/>
      <c r="G1973" s="1777"/>
    </row>
    <row r="1974" spans="1:7" ht="13.8" x14ac:dyDescent="0.25">
      <c r="A1974" s="1779"/>
      <c r="B1974" s="2723" t="s">
        <v>2100</v>
      </c>
      <c r="C1974" s="2723"/>
      <c r="D1974" s="2723"/>
      <c r="E1974" s="2723"/>
      <c r="F1974" s="1780">
        <f>D1974*E1974</f>
        <v>0</v>
      </c>
      <c r="G1974" s="1932">
        <f>SUM(F1969:F1974)</f>
        <v>194400</v>
      </c>
    </row>
    <row r="1975" spans="1:7" ht="13.8" x14ac:dyDescent="0.25">
      <c r="A1975" s="1775"/>
      <c r="B1975" s="1782"/>
      <c r="C1975" s="1782"/>
      <c r="D1975" s="1782"/>
      <c r="E1975" s="1782"/>
      <c r="F1975" s="1777"/>
      <c r="G1975" s="1782"/>
    </row>
    <row r="1976" spans="1:7" ht="13.8" x14ac:dyDescent="0.25">
      <c r="A1976" s="1775"/>
      <c r="B1976" s="1782"/>
      <c r="C1976" s="1782"/>
      <c r="D1976" s="1782"/>
      <c r="E1976" s="1782"/>
      <c r="F1976" s="1777"/>
      <c r="G1976" s="1782"/>
    </row>
    <row r="1977" spans="1:7" ht="13.8" x14ac:dyDescent="0.25">
      <c r="A1977" s="2716" t="s">
        <v>2440</v>
      </c>
      <c r="B1977" s="2716"/>
      <c r="C1977" s="2716"/>
      <c r="D1977" s="2716"/>
      <c r="E1977" s="2716"/>
      <c r="F1977" s="2716"/>
      <c r="G1977" s="1931">
        <f>G1966+G1974</f>
        <v>484400</v>
      </c>
    </row>
  </sheetData>
  <mergeCells count="468">
    <mergeCell ref="A1955:G1955"/>
    <mergeCell ref="A1956:G1956"/>
    <mergeCell ref="B1966:E1966"/>
    <mergeCell ref="B1974:E1974"/>
    <mergeCell ref="A1977:F1977"/>
    <mergeCell ref="A17:F17"/>
    <mergeCell ref="A20:G20"/>
    <mergeCell ref="A21:G21"/>
    <mergeCell ref="B27:E27"/>
    <mergeCell ref="A31:F31"/>
    <mergeCell ref="A32:F32"/>
    <mergeCell ref="A64:G64"/>
    <mergeCell ref="B73:E73"/>
    <mergeCell ref="B77:E77"/>
    <mergeCell ref="B129:E129"/>
    <mergeCell ref="B133:E133"/>
    <mergeCell ref="A136:F136"/>
    <mergeCell ref="A137:F137"/>
    <mergeCell ref="A138:F138"/>
    <mergeCell ref="A183:G183"/>
    <mergeCell ref="B82:E82"/>
    <mergeCell ref="A85:F85"/>
    <mergeCell ref="A86:F86"/>
    <mergeCell ref="A87:F87"/>
    <mergeCell ref="A2:G2"/>
    <mergeCell ref="A4:G4"/>
    <mergeCell ref="A5:G5"/>
    <mergeCell ref="B11:E11"/>
    <mergeCell ref="A15:F15"/>
    <mergeCell ref="A16:F16"/>
    <mergeCell ref="A56:F56"/>
    <mergeCell ref="A57:F57"/>
    <mergeCell ref="A63:G63"/>
    <mergeCell ref="A35:G35"/>
    <mergeCell ref="A36:G36"/>
    <mergeCell ref="B43:E43"/>
    <mergeCell ref="B47:E47"/>
    <mergeCell ref="B52:E52"/>
    <mergeCell ref="A55:F55"/>
    <mergeCell ref="A120:G120"/>
    <mergeCell ref="A121:G121"/>
    <mergeCell ref="A90:G90"/>
    <mergeCell ref="A91:G91"/>
    <mergeCell ref="B100:E100"/>
    <mergeCell ref="B104:E104"/>
    <mergeCell ref="B110:E110"/>
    <mergeCell ref="A113:F113"/>
    <mergeCell ref="A114:F114"/>
    <mergeCell ref="A115:F115"/>
    <mergeCell ref="B214:E214"/>
    <mergeCell ref="B220:E220"/>
    <mergeCell ref="A223:F223"/>
    <mergeCell ref="A224:F224"/>
    <mergeCell ref="A229:G229"/>
    <mergeCell ref="A230:G230"/>
    <mergeCell ref="A187:B187"/>
    <mergeCell ref="A196:E196"/>
    <mergeCell ref="A197:E197"/>
    <mergeCell ref="A201:G201"/>
    <mergeCell ref="A202:G202"/>
    <mergeCell ref="B210:E210"/>
    <mergeCell ref="A254:F254"/>
    <mergeCell ref="A259:G259"/>
    <mergeCell ref="A260:G260"/>
    <mergeCell ref="B268:E268"/>
    <mergeCell ref="B272:E272"/>
    <mergeCell ref="B278:E278"/>
    <mergeCell ref="B238:E238"/>
    <mergeCell ref="B242:E242"/>
    <mergeCell ref="B248:E248"/>
    <mergeCell ref="A251:F251"/>
    <mergeCell ref="A252:F252"/>
    <mergeCell ref="A253:F253"/>
    <mergeCell ref="B301:E301"/>
    <mergeCell ref="B307:E307"/>
    <mergeCell ref="A310:F310"/>
    <mergeCell ref="A311:F311"/>
    <mergeCell ref="A312:F312"/>
    <mergeCell ref="A315:G315"/>
    <mergeCell ref="A281:F281"/>
    <mergeCell ref="A282:F282"/>
    <mergeCell ref="A283:F283"/>
    <mergeCell ref="A287:G287"/>
    <mergeCell ref="A288:G288"/>
    <mergeCell ref="B297:E297"/>
    <mergeCell ref="A340:F340"/>
    <mergeCell ref="A343:G343"/>
    <mergeCell ref="A344:G344"/>
    <mergeCell ref="B355:E355"/>
    <mergeCell ref="B359:E359"/>
    <mergeCell ref="B365:E365"/>
    <mergeCell ref="A316:G316"/>
    <mergeCell ref="B325:E325"/>
    <mergeCell ref="B329:E329"/>
    <mergeCell ref="B335:E335"/>
    <mergeCell ref="A338:F338"/>
    <mergeCell ref="A339:F339"/>
    <mergeCell ref="B389:E389"/>
    <mergeCell ref="B393:E393"/>
    <mergeCell ref="B399:E399"/>
    <mergeCell ref="A402:F402"/>
    <mergeCell ref="A403:F403"/>
    <mergeCell ref="A404:F404"/>
    <mergeCell ref="A368:F368"/>
    <mergeCell ref="A369:F369"/>
    <mergeCell ref="A370:F370"/>
    <mergeCell ref="A373:G373"/>
    <mergeCell ref="A376:G376"/>
    <mergeCell ref="A377:G377"/>
    <mergeCell ref="A434:F434"/>
    <mergeCell ref="A435:F435"/>
    <mergeCell ref="A439:G439"/>
    <mergeCell ref="A440:G440"/>
    <mergeCell ref="B452:E452"/>
    <mergeCell ref="B456:E456"/>
    <mergeCell ref="A407:G407"/>
    <mergeCell ref="A408:G408"/>
    <mergeCell ref="B420:E420"/>
    <mergeCell ref="B424:E424"/>
    <mergeCell ref="B430:E430"/>
    <mergeCell ref="A433:F433"/>
    <mergeCell ref="B483:E483"/>
    <mergeCell ref="B487:E487"/>
    <mergeCell ref="B493:E493"/>
    <mergeCell ref="A496:F496"/>
    <mergeCell ref="A497:F497"/>
    <mergeCell ref="A498:F498"/>
    <mergeCell ref="B462:E462"/>
    <mergeCell ref="A465:F465"/>
    <mergeCell ref="A466:F466"/>
    <mergeCell ref="A467:F467"/>
    <mergeCell ref="A470:G470"/>
    <mergeCell ref="A471:G471"/>
    <mergeCell ref="A531:F531"/>
    <mergeCell ref="A532:F532"/>
    <mergeCell ref="A533:F533"/>
    <mergeCell ref="A548:G548"/>
    <mergeCell ref="A551:B551"/>
    <mergeCell ref="A560:E560"/>
    <mergeCell ref="A502:G502"/>
    <mergeCell ref="A505:G505"/>
    <mergeCell ref="A506:G506"/>
    <mergeCell ref="B517:E517"/>
    <mergeCell ref="B521:E521"/>
    <mergeCell ref="B528:E528"/>
    <mergeCell ref="A584:F584"/>
    <mergeCell ref="A585:F585"/>
    <mergeCell ref="A586:F586"/>
    <mergeCell ref="A592:G592"/>
    <mergeCell ref="A595:G595"/>
    <mergeCell ref="A596:G596"/>
    <mergeCell ref="A561:E561"/>
    <mergeCell ref="A562:E562"/>
    <mergeCell ref="A565:G565"/>
    <mergeCell ref="A566:G566"/>
    <mergeCell ref="B575:E575"/>
    <mergeCell ref="B579:E579"/>
    <mergeCell ref="A625:G625"/>
    <mergeCell ref="A626:G626"/>
    <mergeCell ref="B635:E635"/>
    <mergeCell ref="B640:E640"/>
    <mergeCell ref="A643:F643"/>
    <mergeCell ref="A644:F644"/>
    <mergeCell ref="B608:E608"/>
    <mergeCell ref="B613:E613"/>
    <mergeCell ref="A616:F616"/>
    <mergeCell ref="A617:F617"/>
    <mergeCell ref="A618:F618"/>
    <mergeCell ref="A622:G622"/>
    <mergeCell ref="A669:F669"/>
    <mergeCell ref="A670:F670"/>
    <mergeCell ref="A674:G674"/>
    <mergeCell ref="A675:G675"/>
    <mergeCell ref="B686:E686"/>
    <mergeCell ref="B692:E692"/>
    <mergeCell ref="A647:G647"/>
    <mergeCell ref="A649:G649"/>
    <mergeCell ref="A650:G650"/>
    <mergeCell ref="B659:E659"/>
    <mergeCell ref="B665:E665"/>
    <mergeCell ref="A668:F668"/>
    <mergeCell ref="B718:E718"/>
    <mergeCell ref="A721:F721"/>
    <mergeCell ref="A722:F722"/>
    <mergeCell ref="A723:F723"/>
    <mergeCell ref="A725:G725"/>
    <mergeCell ref="A728:B728"/>
    <mergeCell ref="A695:F695"/>
    <mergeCell ref="A696:F696"/>
    <mergeCell ref="A697:F697"/>
    <mergeCell ref="A701:G701"/>
    <mergeCell ref="A702:G702"/>
    <mergeCell ref="B712:E712"/>
    <mergeCell ref="A754:F754"/>
    <mergeCell ref="A758:B758"/>
    <mergeCell ref="A761:G761"/>
    <mergeCell ref="A762:G762"/>
    <mergeCell ref="B772:E772"/>
    <mergeCell ref="B779:E779"/>
    <mergeCell ref="A731:G731"/>
    <mergeCell ref="A732:G732"/>
    <mergeCell ref="B742:E742"/>
    <mergeCell ref="B749:E749"/>
    <mergeCell ref="A752:F752"/>
    <mergeCell ref="A753:F753"/>
    <mergeCell ref="B815:E815"/>
    <mergeCell ref="B822:E822"/>
    <mergeCell ref="A825:F825"/>
    <mergeCell ref="A826:F826"/>
    <mergeCell ref="A827:F827"/>
    <mergeCell ref="A832:B832"/>
    <mergeCell ref="A782:F782"/>
    <mergeCell ref="A783:F783"/>
    <mergeCell ref="A784:F784"/>
    <mergeCell ref="A800:B800"/>
    <mergeCell ref="A804:G804"/>
    <mergeCell ref="A805:G805"/>
    <mergeCell ref="A858:F858"/>
    <mergeCell ref="A884:G884"/>
    <mergeCell ref="A886:G886"/>
    <mergeCell ref="A887:G887"/>
    <mergeCell ref="B898:E898"/>
    <mergeCell ref="B906:E906"/>
    <mergeCell ref="A836:G836"/>
    <mergeCell ref="A837:G837"/>
    <mergeCell ref="B847:E847"/>
    <mergeCell ref="B853:E853"/>
    <mergeCell ref="A856:F856"/>
    <mergeCell ref="A857:F857"/>
    <mergeCell ref="B942:E942"/>
    <mergeCell ref="A945:F945"/>
    <mergeCell ref="A946:F946"/>
    <mergeCell ref="A947:F947"/>
    <mergeCell ref="A951:G951"/>
    <mergeCell ref="A952:G952"/>
    <mergeCell ref="A909:F909"/>
    <mergeCell ref="A910:F910"/>
    <mergeCell ref="A911:F911"/>
    <mergeCell ref="A921:G921"/>
    <mergeCell ref="A922:G922"/>
    <mergeCell ref="B934:E934"/>
    <mergeCell ref="A977:G977"/>
    <mergeCell ref="B987:E987"/>
    <mergeCell ref="B993:E993"/>
    <mergeCell ref="A996:F996"/>
    <mergeCell ref="A997:F997"/>
    <mergeCell ref="A998:F998"/>
    <mergeCell ref="B962:E962"/>
    <mergeCell ref="B968:E968"/>
    <mergeCell ref="A971:F971"/>
    <mergeCell ref="A972:F972"/>
    <mergeCell ref="A973:F973"/>
    <mergeCell ref="A976:G976"/>
    <mergeCell ref="A1025:F1025"/>
    <mergeCell ref="A1035:G1035"/>
    <mergeCell ref="A1038:G1038"/>
    <mergeCell ref="A1039:G1039"/>
    <mergeCell ref="B1049:E1049"/>
    <mergeCell ref="B1055:E1055"/>
    <mergeCell ref="A1001:G1001"/>
    <mergeCell ref="A1002:G1002"/>
    <mergeCell ref="B1012:E1012"/>
    <mergeCell ref="B1020:E1020"/>
    <mergeCell ref="A1023:F1023"/>
    <mergeCell ref="A1024:F1024"/>
    <mergeCell ref="B1088:E1088"/>
    <mergeCell ref="A1091:F1091"/>
    <mergeCell ref="A1092:F1092"/>
    <mergeCell ref="A1093:F1093"/>
    <mergeCell ref="A1100:G1100"/>
    <mergeCell ref="A1101:G1101"/>
    <mergeCell ref="A1058:F1058"/>
    <mergeCell ref="A1059:F1059"/>
    <mergeCell ref="A1060:F1060"/>
    <mergeCell ref="A1071:G1071"/>
    <mergeCell ref="A1072:G1072"/>
    <mergeCell ref="B1082:E1082"/>
    <mergeCell ref="A1129:G1129"/>
    <mergeCell ref="B1139:E1139"/>
    <mergeCell ref="B1145:E1145"/>
    <mergeCell ref="A1148:F1148"/>
    <mergeCell ref="A1149:F1149"/>
    <mergeCell ref="A1150:F1150"/>
    <mergeCell ref="B1111:E1111"/>
    <mergeCell ref="B1117:E1117"/>
    <mergeCell ref="A1120:F1120"/>
    <mergeCell ref="A1121:F1121"/>
    <mergeCell ref="A1122:F1122"/>
    <mergeCell ref="A1128:G1128"/>
    <mergeCell ref="A1175:F1175"/>
    <mergeCell ref="A1238:G1238"/>
    <mergeCell ref="A1241:G1241"/>
    <mergeCell ref="A1242:G1242"/>
    <mergeCell ref="B1257:E1257"/>
    <mergeCell ref="B1263:E1263"/>
    <mergeCell ref="A1153:G1153"/>
    <mergeCell ref="A1154:G1154"/>
    <mergeCell ref="B1164:E1164"/>
    <mergeCell ref="B1170:E1170"/>
    <mergeCell ref="A1173:F1173"/>
    <mergeCell ref="A1174:F1174"/>
    <mergeCell ref="B1293:E1293"/>
    <mergeCell ref="A1296:F1296"/>
    <mergeCell ref="A1297:F1297"/>
    <mergeCell ref="A1298:F1298"/>
    <mergeCell ref="A1300:G1300"/>
    <mergeCell ref="A1301:G1301"/>
    <mergeCell ref="A1266:F1266"/>
    <mergeCell ref="A1267:F1267"/>
    <mergeCell ref="A1268:F1268"/>
    <mergeCell ref="A1271:G1271"/>
    <mergeCell ref="A1272:G1272"/>
    <mergeCell ref="B1287:E1287"/>
    <mergeCell ref="A1326:F1326"/>
    <mergeCell ref="P1326:S1326"/>
    <mergeCell ref="A1327:F1327"/>
    <mergeCell ref="O1329:T1329"/>
    <mergeCell ref="A1331:G1331"/>
    <mergeCell ref="A1332:G1332"/>
    <mergeCell ref="O1304:U1304"/>
    <mergeCell ref="O1305:U1305"/>
    <mergeCell ref="B1316:E1316"/>
    <mergeCell ref="P1320:S1320"/>
    <mergeCell ref="B1322:E1322"/>
    <mergeCell ref="A1325:F1325"/>
    <mergeCell ref="A1362:G1362"/>
    <mergeCell ref="B1377:E1377"/>
    <mergeCell ref="B1383:E1383"/>
    <mergeCell ref="A1386:F1386"/>
    <mergeCell ref="A1387:F1387"/>
    <mergeCell ref="A1388:F1388"/>
    <mergeCell ref="B1347:E1347"/>
    <mergeCell ref="B1353:E1353"/>
    <mergeCell ref="A1356:F1356"/>
    <mergeCell ref="A1357:F1357"/>
    <mergeCell ref="A1358:F1358"/>
    <mergeCell ref="A1361:G1361"/>
    <mergeCell ref="A1418:F1418"/>
    <mergeCell ref="A1421:G1421"/>
    <mergeCell ref="A1422:G1422"/>
    <mergeCell ref="B1437:E1437"/>
    <mergeCell ref="B1443:E1443"/>
    <mergeCell ref="A1446:F1446"/>
    <mergeCell ref="A1391:G1391"/>
    <mergeCell ref="A1392:G1392"/>
    <mergeCell ref="B1407:E1407"/>
    <mergeCell ref="B1413:E1413"/>
    <mergeCell ref="A1416:F1416"/>
    <mergeCell ref="A1417:F1417"/>
    <mergeCell ref="B1496:E1496"/>
    <mergeCell ref="A1499:F1499"/>
    <mergeCell ref="A1500:F1500"/>
    <mergeCell ref="A1501:F1501"/>
    <mergeCell ref="A1504:G1504"/>
    <mergeCell ref="A1505:G1505"/>
    <mergeCell ref="A1447:F1447"/>
    <mergeCell ref="A1448:F1448"/>
    <mergeCell ref="A1480:G1480"/>
    <mergeCell ref="A1481:G1481"/>
    <mergeCell ref="B1491:E1491"/>
    <mergeCell ref="A1450:G1450"/>
    <mergeCell ref="A1451:G1451"/>
    <mergeCell ref="B1466:E1466"/>
    <mergeCell ref="B1472:E1472"/>
    <mergeCell ref="A1475:F1475"/>
    <mergeCell ref="A1476:F1476"/>
    <mergeCell ref="A1477:F1477"/>
    <mergeCell ref="A1562:G1562"/>
    <mergeCell ref="B1572:E1572"/>
    <mergeCell ref="B1577:E1577"/>
    <mergeCell ref="A1580:F1580"/>
    <mergeCell ref="A1581:F1581"/>
    <mergeCell ref="A1582:F1582"/>
    <mergeCell ref="B1516:E1516"/>
    <mergeCell ref="B1521:E1521"/>
    <mergeCell ref="A1524:F1524"/>
    <mergeCell ref="A1525:F1525"/>
    <mergeCell ref="A1526:F1526"/>
    <mergeCell ref="A1561:G1561"/>
    <mergeCell ref="A1528:G1528"/>
    <mergeCell ref="A1529:G1529"/>
    <mergeCell ref="B1540:E1540"/>
    <mergeCell ref="B1545:E1545"/>
    <mergeCell ref="A1548:F1548"/>
    <mergeCell ref="A1549:F1549"/>
    <mergeCell ref="A1550:F1550"/>
    <mergeCell ref="A1613:G1613"/>
    <mergeCell ref="A1614:G1614"/>
    <mergeCell ref="B1625:E1625"/>
    <mergeCell ref="B1630:E1630"/>
    <mergeCell ref="A1633:F1633"/>
    <mergeCell ref="A1634:F1634"/>
    <mergeCell ref="A1588:G1588"/>
    <mergeCell ref="A1589:G1589"/>
    <mergeCell ref="B1600:E1600"/>
    <mergeCell ref="B1605:E1605"/>
    <mergeCell ref="A1608:F1608"/>
    <mergeCell ref="A1609:F1609"/>
    <mergeCell ref="A1662:F1662"/>
    <mergeCell ref="A1663:F1663"/>
    <mergeCell ref="A1715:G1715"/>
    <mergeCell ref="A1721:G1721"/>
    <mergeCell ref="A1722:G1722"/>
    <mergeCell ref="A1735:F1735"/>
    <mergeCell ref="A1637:G1637"/>
    <mergeCell ref="A1640:G1640"/>
    <mergeCell ref="A1641:G1641"/>
    <mergeCell ref="B1653:E1653"/>
    <mergeCell ref="B1658:E1658"/>
    <mergeCell ref="A1661:F1661"/>
    <mergeCell ref="A1768:F1768"/>
    <mergeCell ref="A1771:G1771"/>
    <mergeCell ref="A1772:G1772"/>
    <mergeCell ref="B1795:E1795"/>
    <mergeCell ref="B1802:E1802"/>
    <mergeCell ref="A1805:F1805"/>
    <mergeCell ref="A1738:G1738"/>
    <mergeCell ref="A1739:G1739"/>
    <mergeCell ref="B1755:E1755"/>
    <mergeCell ref="B1763:E1763"/>
    <mergeCell ref="A1766:F1766"/>
    <mergeCell ref="A1767:F1767"/>
    <mergeCell ref="B1835:E1835"/>
    <mergeCell ref="A1838:F1838"/>
    <mergeCell ref="A1839:F1839"/>
    <mergeCell ref="A1840:F1840"/>
    <mergeCell ref="A1844:G1844"/>
    <mergeCell ref="A1845:G1845"/>
    <mergeCell ref="A1806:F1806"/>
    <mergeCell ref="A1807:F1807"/>
    <mergeCell ref="A1808:F1808"/>
    <mergeCell ref="A1812:G1812"/>
    <mergeCell ref="A1813:G1813"/>
    <mergeCell ref="B1827:E1827"/>
    <mergeCell ref="B1892:E1892"/>
    <mergeCell ref="A1895:F1895"/>
    <mergeCell ref="A1896:F1896"/>
    <mergeCell ref="A1897:F1897"/>
    <mergeCell ref="B1859:E1859"/>
    <mergeCell ref="B1867:E1867"/>
    <mergeCell ref="A1870:F1870"/>
    <mergeCell ref="A1871:F1871"/>
    <mergeCell ref="A1872:F1872"/>
    <mergeCell ref="A1876:G1876"/>
    <mergeCell ref="A1946:F1946"/>
    <mergeCell ref="A1947:F1947"/>
    <mergeCell ref="A225:F225"/>
    <mergeCell ref="A140:G140"/>
    <mergeCell ref="A141:G141"/>
    <mergeCell ref="B151:E151"/>
    <mergeCell ref="B155:E155"/>
    <mergeCell ref="A158:F158"/>
    <mergeCell ref="A159:F159"/>
    <mergeCell ref="A160:F160"/>
    <mergeCell ref="A1922:F1922"/>
    <mergeCell ref="A1926:G1926"/>
    <mergeCell ref="A1927:G1927"/>
    <mergeCell ref="B1938:E1938"/>
    <mergeCell ref="B1942:E1942"/>
    <mergeCell ref="A1945:F1945"/>
    <mergeCell ref="A1901:G1901"/>
    <mergeCell ref="A1902:G1902"/>
    <mergeCell ref="B1913:E1913"/>
    <mergeCell ref="B1917:E1917"/>
    <mergeCell ref="A1920:F1920"/>
    <mergeCell ref="A1921:F1921"/>
    <mergeCell ref="A1877:G1877"/>
    <mergeCell ref="B1888:E1888"/>
  </mergeCells>
  <pageMargins left="0.7" right="0.7" top="0.75" bottom="0.75" header="0.3" footer="0.3"/>
  <pageSetup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21"/>
  <sheetViews>
    <sheetView showZeros="0" view="pageBreakPreview" zoomScale="130" zoomScaleNormal="100" zoomScaleSheetLayoutView="130" workbookViewId="0">
      <pane xSplit="1" ySplit="1" topLeftCell="B2" activePane="bottomRight" state="frozen"/>
      <selection activeCell="C18" sqref="C18"/>
      <selection pane="topRight" activeCell="C18" sqref="C18"/>
      <selection pane="bottomLeft" activeCell="C18" sqref="C18"/>
      <selection pane="bottomRight" activeCell="H8" sqref="H8"/>
    </sheetView>
  </sheetViews>
  <sheetFormatPr defaultColWidth="11" defaultRowHeight="13.2" x14ac:dyDescent="0.25"/>
  <cols>
    <col min="1" max="1" width="6.44140625" style="615" bestFit="1" customWidth="1"/>
    <col min="2" max="2" width="49.44140625" style="622" customWidth="1"/>
    <col min="3" max="3" width="9.21875" style="615" bestFit="1" customWidth="1"/>
    <col min="4" max="4" width="6.109375" style="623" bestFit="1" customWidth="1"/>
    <col min="5" max="5" width="10.21875" style="623" hidden="1" customWidth="1"/>
    <col min="6" max="6" width="8.88671875" style="623" hidden="1" customWidth="1"/>
    <col min="7" max="7" width="10.44140625" style="624" bestFit="1" customWidth="1"/>
    <col min="8" max="8" width="14.33203125" style="624" bestFit="1" customWidth="1"/>
    <col min="9" max="9" width="15.6640625" style="593" customWidth="1"/>
    <col min="10" max="10" width="14.77734375" style="588" bestFit="1" customWidth="1"/>
    <col min="11" max="11" width="14.77734375" style="594" customWidth="1"/>
    <col min="12" max="12" width="12.6640625" style="594" bestFit="1" customWidth="1"/>
    <col min="13" max="13" width="11.21875" style="594" bestFit="1" customWidth="1"/>
    <col min="14" max="15" width="11" style="594"/>
    <col min="16" max="16" width="12.6640625" style="594" bestFit="1" customWidth="1"/>
    <col min="17" max="16384" width="11" style="594"/>
  </cols>
  <sheetData>
    <row r="1" spans="1:17" s="590" customFormat="1" ht="23.25" customHeight="1" thickBot="1" x14ac:dyDescent="0.3">
      <c r="A1" s="581" t="s">
        <v>13</v>
      </c>
      <c r="B1" s="582" t="s">
        <v>1</v>
      </c>
      <c r="C1" s="583" t="s">
        <v>2</v>
      </c>
      <c r="D1" s="584" t="s">
        <v>3</v>
      </c>
      <c r="E1" s="1898" t="s">
        <v>2326</v>
      </c>
      <c r="F1" s="1898" t="s">
        <v>2327</v>
      </c>
      <c r="G1" s="1899" t="s">
        <v>4</v>
      </c>
      <c r="H1" s="586" t="s">
        <v>954</v>
      </c>
      <c r="I1" s="587" t="e">
        <f>+summary!#REF!</f>
        <v>#REF!</v>
      </c>
      <c r="J1" s="588"/>
      <c r="K1" s="589"/>
      <c r="L1" s="589"/>
      <c r="M1" s="589"/>
      <c r="N1" s="589"/>
      <c r="O1" s="589"/>
      <c r="P1" s="589"/>
      <c r="Q1" s="589"/>
    </row>
    <row r="2" spans="1:17" s="595" customFormat="1" ht="15.6" x14ac:dyDescent="0.25">
      <c r="A2" s="597">
        <v>1</v>
      </c>
      <c r="B2" s="596" t="s">
        <v>241</v>
      </c>
      <c r="C2" s="591"/>
      <c r="D2" s="591"/>
      <c r="E2" s="1906"/>
      <c r="F2" s="1906"/>
      <c r="G2" s="591"/>
      <c r="H2" s="591"/>
      <c r="I2" s="593"/>
      <c r="J2" s="588"/>
      <c r="K2" s="594"/>
      <c r="L2" s="594"/>
      <c r="M2" s="594"/>
      <c r="N2" s="594"/>
      <c r="O2" s="594"/>
      <c r="P2" s="594"/>
      <c r="Q2" s="594"/>
    </row>
    <row r="3" spans="1:17" s="595" customFormat="1" ht="15.6" x14ac:dyDescent="0.25">
      <c r="A3" s="597"/>
      <c r="B3" s="596"/>
      <c r="C3" s="591"/>
      <c r="D3" s="591"/>
      <c r="E3" s="1906"/>
      <c r="F3" s="1906"/>
      <c r="G3" s="591"/>
      <c r="H3" s="591"/>
      <c r="I3" s="593"/>
      <c r="J3" s="588"/>
      <c r="K3" s="594"/>
      <c r="L3" s="594"/>
      <c r="M3" s="594"/>
      <c r="N3" s="594"/>
      <c r="O3" s="594"/>
      <c r="P3" s="594"/>
      <c r="Q3" s="594"/>
    </row>
    <row r="4" spans="1:17" s="595" customFormat="1" ht="54.6" customHeight="1" x14ac:dyDescent="0.25">
      <c r="A4" s="1905">
        <f>A2+0.01</f>
        <v>1.01</v>
      </c>
      <c r="B4" s="1622" t="s">
        <v>1862</v>
      </c>
      <c r="C4" s="1621">
        <v>117</v>
      </c>
      <c r="D4" s="591" t="s">
        <v>1292</v>
      </c>
      <c r="E4" s="1906">
        <f>(1300+180)*10.76</f>
        <v>15924.8</v>
      </c>
      <c r="F4" s="1906" t="e">
        <f>+I1</f>
        <v>#REF!</v>
      </c>
      <c r="G4" s="1881" t="e">
        <f>ROUNDUP(E4/F4,-1)</f>
        <v>#REF!</v>
      </c>
      <c r="H4" s="591" t="e">
        <f>+G4*C4</f>
        <v>#REF!</v>
      </c>
      <c r="I4" s="593"/>
      <c r="J4" s="588"/>
      <c r="K4" s="594"/>
      <c r="L4" s="594"/>
      <c r="M4" s="594"/>
      <c r="N4" s="594"/>
      <c r="O4" s="594"/>
      <c r="P4" s="594"/>
      <c r="Q4" s="594"/>
    </row>
    <row r="5" spans="1:17" s="595" customFormat="1" ht="15.6" x14ac:dyDescent="0.25">
      <c r="A5" s="597"/>
      <c r="B5" s="596"/>
      <c r="C5" s="1621"/>
      <c r="D5" s="591"/>
      <c r="E5" s="1906"/>
      <c r="F5" s="1906"/>
      <c r="G5" s="591"/>
      <c r="H5" s="591"/>
      <c r="I5" s="593"/>
      <c r="J5" s="588"/>
      <c r="K5" s="594"/>
      <c r="L5" s="594"/>
      <c r="M5" s="594"/>
      <c r="N5" s="594"/>
      <c r="O5" s="594"/>
      <c r="P5" s="594"/>
      <c r="Q5" s="594"/>
    </row>
    <row r="6" spans="1:17" s="595" customFormat="1" ht="13.8" thickBot="1" x14ac:dyDescent="0.3">
      <c r="A6" s="603"/>
      <c r="B6" s="613"/>
      <c r="C6" s="610"/>
      <c r="D6" s="612"/>
      <c r="E6" s="1907"/>
      <c r="F6" s="1907"/>
      <c r="G6" s="611"/>
      <c r="H6" s="611"/>
      <c r="I6" s="593"/>
      <c r="J6" s="588"/>
      <c r="K6" s="594"/>
      <c r="L6" s="594"/>
      <c r="M6" s="594"/>
      <c r="N6" s="594"/>
      <c r="O6" s="594"/>
      <c r="P6" s="594"/>
      <c r="Q6" s="594"/>
    </row>
    <row r="7" spans="1:17" s="595" customFormat="1" ht="31.2" x14ac:dyDescent="0.25">
      <c r="A7" s="1900"/>
      <c r="B7" s="2227" t="s">
        <v>739</v>
      </c>
      <c r="C7" s="1901"/>
      <c r="D7" s="1902"/>
      <c r="E7" s="1908"/>
      <c r="F7" s="1908"/>
      <c r="G7" s="1903"/>
      <c r="H7" s="1904" t="e">
        <f>SUM(H2:H6)</f>
        <v>#REF!</v>
      </c>
      <c r="I7" s="593"/>
      <c r="J7" s="588"/>
      <c r="K7" s="594"/>
      <c r="L7" s="594"/>
      <c r="M7" s="594"/>
      <c r="N7" s="594"/>
      <c r="O7" s="594"/>
      <c r="P7" s="594"/>
      <c r="Q7" s="594"/>
    </row>
    <row r="8" spans="1:17" s="590" customFormat="1" x14ac:dyDescent="0.25">
      <c r="A8" s="615"/>
      <c r="B8" s="2228"/>
      <c r="C8" s="617"/>
      <c r="D8" s="618"/>
      <c r="E8" s="618"/>
      <c r="F8" s="618"/>
      <c r="G8" s="619"/>
      <c r="H8" s="619"/>
      <c r="I8" s="620"/>
      <c r="J8" s="588"/>
      <c r="K8" s="589"/>
      <c r="L8" s="589"/>
      <c r="M8" s="589"/>
      <c r="N8" s="621"/>
      <c r="O8" s="589"/>
      <c r="P8" s="589"/>
      <c r="Q8" s="589"/>
    </row>
    <row r="9" spans="1:17" s="590" customFormat="1" x14ac:dyDescent="0.25">
      <c r="A9" s="615"/>
      <c r="B9" s="2228"/>
      <c r="C9" s="617"/>
      <c r="D9" s="618"/>
      <c r="E9" s="618"/>
      <c r="F9" s="618"/>
      <c r="G9" s="619"/>
      <c r="H9" s="619"/>
      <c r="I9" s="620"/>
      <c r="J9" s="588"/>
      <c r="K9" s="589"/>
      <c r="L9" s="589"/>
      <c r="M9" s="589"/>
      <c r="N9" s="589"/>
      <c r="O9" s="589"/>
      <c r="P9" s="589"/>
      <c r="Q9" s="589"/>
    </row>
    <row r="10" spans="1:17" s="590" customFormat="1" x14ac:dyDescent="0.25">
      <c r="A10" s="615"/>
      <c r="B10" s="2228"/>
      <c r="C10" s="617"/>
      <c r="D10" s="618"/>
      <c r="E10" s="618"/>
      <c r="F10" s="618"/>
      <c r="G10" s="619"/>
      <c r="H10" s="619"/>
      <c r="I10" s="620"/>
      <c r="J10" s="588"/>
      <c r="K10" s="589"/>
      <c r="L10" s="589"/>
      <c r="M10" s="589"/>
      <c r="N10" s="589"/>
      <c r="O10" s="589"/>
      <c r="P10" s="589"/>
      <c r="Q10" s="589"/>
    </row>
    <row r="11" spans="1:17" s="590" customFormat="1" x14ac:dyDescent="0.25">
      <c r="A11" s="615"/>
      <c r="B11" s="2228"/>
      <c r="C11" s="617"/>
      <c r="D11" s="618"/>
      <c r="E11" s="618"/>
      <c r="F11" s="618"/>
      <c r="G11" s="619"/>
      <c r="H11" s="619"/>
      <c r="I11" s="620"/>
      <c r="J11" s="588"/>
      <c r="K11" s="589"/>
      <c r="L11" s="589"/>
      <c r="M11" s="589"/>
      <c r="N11" s="589"/>
      <c r="O11" s="589"/>
      <c r="P11" s="589"/>
      <c r="Q11" s="589"/>
    </row>
    <row r="12" spans="1:17" s="590" customFormat="1" x14ac:dyDescent="0.25">
      <c r="A12" s="615"/>
      <c r="B12" s="2228"/>
      <c r="C12" s="617"/>
      <c r="D12" s="618"/>
      <c r="E12" s="618"/>
      <c r="F12" s="618"/>
      <c r="G12" s="619"/>
      <c r="H12" s="619"/>
      <c r="I12" s="620"/>
      <c r="J12" s="588"/>
      <c r="K12" s="589"/>
      <c r="L12" s="589"/>
      <c r="M12" s="589"/>
      <c r="N12" s="589"/>
      <c r="O12" s="589"/>
      <c r="P12" s="589"/>
      <c r="Q12" s="589"/>
    </row>
    <row r="13" spans="1:17" s="590" customFormat="1" x14ac:dyDescent="0.25">
      <c r="A13" s="615"/>
      <c r="B13" s="2228"/>
      <c r="C13" s="617"/>
      <c r="D13" s="618"/>
      <c r="E13" s="618"/>
      <c r="F13" s="618"/>
      <c r="G13" s="619"/>
      <c r="H13" s="619"/>
      <c r="I13" s="620"/>
      <c r="J13" s="588"/>
      <c r="K13" s="589"/>
      <c r="L13" s="589"/>
      <c r="M13" s="589"/>
      <c r="N13" s="589"/>
      <c r="O13" s="589"/>
      <c r="P13" s="589"/>
      <c r="Q13" s="589"/>
    </row>
    <row r="14" spans="1:17" s="590" customFormat="1" x14ac:dyDescent="0.25">
      <c r="A14" s="615"/>
      <c r="B14" s="2228"/>
      <c r="C14" s="617"/>
      <c r="D14" s="618"/>
      <c r="E14" s="618"/>
      <c r="F14" s="618"/>
      <c r="G14" s="619"/>
      <c r="H14" s="619"/>
      <c r="I14" s="620"/>
      <c r="J14" s="588"/>
      <c r="K14" s="589"/>
      <c r="L14" s="589"/>
      <c r="M14" s="589"/>
      <c r="N14" s="589"/>
      <c r="O14" s="589"/>
      <c r="P14" s="589"/>
      <c r="Q14" s="589"/>
    </row>
    <row r="15" spans="1:17" s="590" customFormat="1" x14ac:dyDescent="0.25">
      <c r="A15" s="615"/>
      <c r="B15" s="616"/>
      <c r="C15" s="617"/>
      <c r="D15" s="618"/>
      <c r="E15" s="618"/>
      <c r="F15" s="618"/>
      <c r="G15" s="619"/>
      <c r="H15" s="619"/>
      <c r="I15" s="620"/>
      <c r="J15" s="588"/>
      <c r="K15" s="589"/>
      <c r="L15" s="589"/>
      <c r="M15" s="589"/>
      <c r="N15" s="589"/>
      <c r="O15" s="589"/>
      <c r="P15" s="589"/>
      <c r="Q15" s="589"/>
    </row>
    <row r="16" spans="1:17" s="590" customFormat="1" x14ac:dyDescent="0.25">
      <c r="A16" s="615"/>
      <c r="B16" s="616"/>
      <c r="C16" s="617"/>
      <c r="D16" s="618"/>
      <c r="E16" s="618"/>
      <c r="F16" s="618"/>
      <c r="G16" s="619"/>
      <c r="H16" s="619"/>
      <c r="I16" s="620"/>
      <c r="J16" s="588"/>
      <c r="K16" s="589"/>
      <c r="L16" s="589"/>
      <c r="M16" s="589"/>
      <c r="N16" s="589"/>
      <c r="O16" s="589"/>
      <c r="P16" s="589"/>
      <c r="Q16" s="589"/>
    </row>
    <row r="17" spans="1:17" s="590" customFormat="1" x14ac:dyDescent="0.25">
      <c r="A17" s="615"/>
      <c r="B17" s="2228"/>
      <c r="C17" s="617"/>
      <c r="D17" s="618"/>
      <c r="E17" s="618"/>
      <c r="F17" s="618"/>
      <c r="G17" s="619"/>
      <c r="H17" s="619"/>
      <c r="I17" s="620"/>
      <c r="J17" s="588"/>
      <c r="K17" s="589"/>
      <c r="L17" s="589"/>
      <c r="M17" s="589"/>
      <c r="N17" s="589"/>
      <c r="O17" s="589"/>
      <c r="P17" s="589"/>
      <c r="Q17" s="589"/>
    </row>
    <row r="18" spans="1:17" s="590" customFormat="1" x14ac:dyDescent="0.25">
      <c r="A18" s="615"/>
      <c r="B18" s="2228"/>
      <c r="C18" s="617"/>
      <c r="D18" s="618"/>
      <c r="E18" s="618"/>
      <c r="F18" s="618"/>
      <c r="G18" s="619"/>
      <c r="H18" s="619"/>
      <c r="I18" s="620"/>
      <c r="J18" s="588"/>
      <c r="K18" s="589"/>
      <c r="L18" s="589"/>
      <c r="M18" s="589"/>
      <c r="N18" s="589"/>
      <c r="O18" s="589"/>
      <c r="P18" s="589"/>
      <c r="Q18" s="589"/>
    </row>
    <row r="19" spans="1:17" s="590" customFormat="1" x14ac:dyDescent="0.25">
      <c r="A19" s="615"/>
      <c r="B19" s="616"/>
      <c r="C19" s="617"/>
      <c r="D19" s="618"/>
      <c r="E19" s="618"/>
      <c r="F19" s="618"/>
      <c r="G19" s="619"/>
      <c r="H19" s="619"/>
      <c r="I19" s="620"/>
      <c r="J19" s="588"/>
      <c r="K19" s="589"/>
      <c r="L19" s="589"/>
      <c r="M19" s="589"/>
      <c r="N19" s="589"/>
      <c r="O19" s="589"/>
      <c r="P19" s="589"/>
      <c r="Q19" s="589"/>
    </row>
    <row r="20" spans="1:17" s="590" customFormat="1" x14ac:dyDescent="0.25">
      <c r="A20" s="615"/>
      <c r="B20" s="616"/>
      <c r="C20" s="617"/>
      <c r="D20" s="618"/>
      <c r="E20" s="618"/>
      <c r="F20" s="618"/>
      <c r="G20" s="619"/>
      <c r="H20" s="619"/>
      <c r="I20" s="620"/>
      <c r="J20" s="588"/>
      <c r="K20" s="589"/>
      <c r="L20" s="589"/>
      <c r="M20" s="589"/>
      <c r="N20" s="589"/>
      <c r="O20" s="589"/>
      <c r="P20" s="589"/>
      <c r="Q20" s="589"/>
    </row>
    <row r="21" spans="1:17" x14ac:dyDescent="0.25">
      <c r="N21" s="589"/>
    </row>
  </sheetData>
  <conditionalFormatting sqref="D7:G7">
    <cfRule type="cellIs" dxfId="1" priority="1" stopIfTrue="1" operator="equal">
      <formula>1</formula>
    </cfRule>
  </conditionalFormatting>
  <pageMargins left="0.34" right="0.23" top="0.66" bottom="0.23622047244094491" header="0.31496062992125984" footer="0.23622047244094491"/>
  <pageSetup scale="104" firstPageNumber="8" fitToHeight="0" orientation="portrait" r:id="rId1"/>
  <headerFooter alignWithMargins="0">
    <oddFooter>&amp;C&amp;P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982C5-8F67-4C13-9B3A-F861B7AB044A}">
  <dimension ref="A1:I18"/>
  <sheetViews>
    <sheetView view="pageBreakPreview" zoomScale="95" zoomScaleNormal="85" zoomScaleSheetLayoutView="95" workbookViewId="0">
      <selection activeCell="B2" sqref="B2"/>
    </sheetView>
  </sheetViews>
  <sheetFormatPr defaultColWidth="9.21875" defaultRowHeight="13.8" x14ac:dyDescent="0.25"/>
  <cols>
    <col min="1" max="1" width="6.44140625" style="503" customWidth="1"/>
    <col min="2" max="2" width="49.21875" style="431" customWidth="1"/>
    <col min="3" max="3" width="5.77734375" style="504" bestFit="1" customWidth="1"/>
    <col min="4" max="4" width="9.33203125" style="503" bestFit="1" customWidth="1"/>
    <col min="5" max="5" width="10.44140625" style="503" hidden="1" customWidth="1"/>
    <col min="6" max="6" width="9.33203125" style="503" hidden="1" customWidth="1"/>
    <col min="7" max="7" width="13.109375" style="1967" customWidth="1"/>
    <col min="8" max="8" width="13" style="504" customWidth="1"/>
    <col min="9" max="9" width="9.21875" style="394"/>
    <col min="10" max="10" width="12.44140625" style="394" bestFit="1" customWidth="1"/>
    <col min="11" max="11" width="10" style="394" bestFit="1" customWidth="1"/>
    <col min="12" max="12" width="11" style="394" bestFit="1" customWidth="1"/>
    <col min="13" max="14" width="12.88671875" style="394" bestFit="1" customWidth="1"/>
    <col min="15" max="15" width="11.88671875" style="394" bestFit="1" customWidth="1"/>
    <col min="16" max="16" width="9.21875" style="394"/>
    <col min="17" max="17" width="10.44140625" style="394" bestFit="1" customWidth="1"/>
    <col min="18" max="16384" width="9.21875" style="394"/>
  </cols>
  <sheetData>
    <row r="1" spans="1:9" s="336" customFormat="1" ht="14.4" thickBot="1" x14ac:dyDescent="0.3">
      <c r="A1" s="338" t="s">
        <v>0</v>
      </c>
      <c r="B1" s="339" t="s">
        <v>1</v>
      </c>
      <c r="C1" s="340" t="s">
        <v>2</v>
      </c>
      <c r="D1" s="341" t="s">
        <v>3</v>
      </c>
      <c r="E1" s="1885" t="s">
        <v>2326</v>
      </c>
      <c r="F1" s="2011" t="s">
        <v>2327</v>
      </c>
      <c r="G1" s="1947" t="s">
        <v>4</v>
      </c>
      <c r="H1" s="49" t="s">
        <v>5</v>
      </c>
      <c r="I1" s="336">
        <f>+summary!D18</f>
        <v>0.75</v>
      </c>
    </row>
    <row r="2" spans="1:9" x14ac:dyDescent="0.25">
      <c r="A2" s="1951">
        <v>1</v>
      </c>
      <c r="B2" s="1966" t="s">
        <v>2415</v>
      </c>
      <c r="C2" s="1952"/>
      <c r="D2" s="450"/>
      <c r="E2" s="450"/>
      <c r="F2" s="450"/>
      <c r="G2" s="1949"/>
      <c r="H2" s="1950"/>
    </row>
    <row r="3" spans="1:9" x14ac:dyDescent="0.25">
      <c r="A3" s="1951"/>
      <c r="B3" s="1966"/>
      <c r="C3" s="1952"/>
      <c r="D3" s="450"/>
      <c r="E3" s="450"/>
      <c r="F3" s="450"/>
      <c r="G3" s="1949"/>
      <c r="H3" s="1950"/>
    </row>
    <row r="4" spans="1:9" x14ac:dyDescent="0.25">
      <c r="A4" s="1951">
        <f>A2+0.01</f>
        <v>1.01</v>
      </c>
      <c r="B4" s="1966" t="s">
        <v>2452</v>
      </c>
      <c r="C4" s="1952"/>
      <c r="D4" s="450"/>
      <c r="E4" s="450"/>
      <c r="F4" s="450"/>
      <c r="G4" s="1949"/>
      <c r="H4" s="1950"/>
    </row>
    <row r="5" spans="1:9" s="387" customFormat="1" ht="69" x14ac:dyDescent="0.25">
      <c r="A5" s="2085"/>
      <c r="B5" s="2215" t="s">
        <v>2453</v>
      </c>
      <c r="C5" s="2216">
        <v>13</v>
      </c>
      <c r="D5" s="2217" t="s">
        <v>1292</v>
      </c>
      <c r="E5" s="2217">
        <v>40300</v>
      </c>
      <c r="F5" s="2151">
        <f>+$I$1</f>
        <v>0.75</v>
      </c>
      <c r="G5" s="1896">
        <f t="shared" ref="G5" si="0">ROUNDUP(E5/F5,-1)</f>
        <v>53740</v>
      </c>
      <c r="H5" s="1897">
        <f>+G5*C5</f>
        <v>698620</v>
      </c>
    </row>
    <row r="6" spans="1:9" ht="14.4" thickBot="1" x14ac:dyDescent="0.3">
      <c r="A6" s="1964"/>
      <c r="B6" s="2218"/>
      <c r="C6" s="1961"/>
      <c r="D6" s="1962"/>
      <c r="E6" s="1962"/>
      <c r="F6" s="1962"/>
      <c r="G6" s="1965"/>
      <c r="H6" s="1963"/>
    </row>
    <row r="7" spans="1:9" s="387" customFormat="1" ht="14.4" thickBot="1" x14ac:dyDescent="0.3">
      <c r="A7" s="2219"/>
      <c r="B7" s="2749" t="s">
        <v>2454</v>
      </c>
      <c r="C7" s="2750"/>
      <c r="D7" s="2750"/>
      <c r="E7" s="2750"/>
      <c r="F7" s="2750"/>
      <c r="G7" s="2751"/>
      <c r="H7" s="2220">
        <f>SUM(H5:H6)</f>
        <v>698620</v>
      </c>
    </row>
    <row r="8" spans="1:9" x14ac:dyDescent="0.25">
      <c r="B8" s="2226"/>
    </row>
    <row r="9" spans="1:9" x14ac:dyDescent="0.25">
      <c r="B9" s="2226"/>
    </row>
    <row r="10" spans="1:9" x14ac:dyDescent="0.25">
      <c r="B10" s="2226"/>
    </row>
    <row r="11" spans="1:9" x14ac:dyDescent="0.25">
      <c r="B11" s="2226"/>
    </row>
    <row r="12" spans="1:9" x14ac:dyDescent="0.25">
      <c r="B12" s="2226"/>
    </row>
    <row r="13" spans="1:9" x14ac:dyDescent="0.25">
      <c r="B13" s="2226"/>
    </row>
    <row r="14" spans="1:9" x14ac:dyDescent="0.25">
      <c r="B14" s="2226"/>
    </row>
    <row r="17" spans="2:2" x14ac:dyDescent="0.25">
      <c r="B17" s="2226"/>
    </row>
    <row r="18" spans="2:2" x14ac:dyDescent="0.25">
      <c r="B18" s="2226"/>
    </row>
  </sheetData>
  <mergeCells count="1">
    <mergeCell ref="B7:G7"/>
  </mergeCells>
  <pageMargins left="0.5" right="0.5" top="0.25" bottom="0.25" header="0.5" footer="0.5"/>
  <pageSetup orientation="portrait" r:id="rId1"/>
  <headerFooter alignWithMargins="0">
    <oddFooter>&amp;C&amp;P</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F48A0-91BE-40BD-82FE-7500240201B5}">
  <dimension ref="A1:AA930"/>
  <sheetViews>
    <sheetView view="pageBreakPreview" zoomScaleNormal="100" zoomScaleSheetLayoutView="100" workbookViewId="0">
      <pane ySplit="6" topLeftCell="A7" activePane="bottomLeft" state="frozen"/>
      <selection activeCell="E1970" sqref="E1970"/>
      <selection pane="bottomLeft" activeCell="M19" sqref="M19"/>
    </sheetView>
  </sheetViews>
  <sheetFormatPr defaultColWidth="14.44140625" defaultRowHeight="15" customHeight="1" x14ac:dyDescent="0.3"/>
  <cols>
    <col min="1" max="1" width="7.33203125" style="1677" customWidth="1"/>
    <col min="2" max="2" width="42.33203125" style="1677" customWidth="1"/>
    <col min="3" max="3" width="9.6640625" style="1677" customWidth="1"/>
    <col min="4" max="5" width="11.6640625" style="1677" customWidth="1"/>
    <col min="6" max="6" width="28.109375" style="1677" customWidth="1"/>
    <col min="7" max="8" width="12.33203125" style="1677" hidden="1" customWidth="1"/>
    <col min="9" max="9" width="8.6640625" style="1677" hidden="1" customWidth="1"/>
    <col min="10" max="10" width="2.5546875" style="1677" customWidth="1"/>
    <col min="11" max="11" width="12.6640625" style="1677" customWidth="1"/>
    <col min="12" max="12" width="32.109375" style="1677" customWidth="1"/>
    <col min="13" max="13" width="16.44140625" style="1769" customWidth="1"/>
    <col min="14" max="14" width="13" style="1769" customWidth="1"/>
    <col min="15" max="15" width="12.109375" style="1769" customWidth="1"/>
    <col min="16" max="17" width="10.44140625" style="1677" customWidth="1"/>
    <col min="18" max="27" width="8.6640625" style="1677" customWidth="1"/>
    <col min="28" max="16384" width="14.44140625" style="1677"/>
  </cols>
  <sheetData>
    <row r="1" spans="1:27" ht="13.5" customHeight="1" x14ac:dyDescent="0.3">
      <c r="A1" s="1669"/>
      <c r="B1" s="1670"/>
      <c r="C1" s="1671"/>
      <c r="D1" s="1671"/>
      <c r="E1" s="1671"/>
      <c r="F1" s="1672"/>
      <c r="G1" s="1673"/>
      <c r="H1" s="1674"/>
      <c r="I1" s="1675"/>
      <c r="J1" s="1675"/>
      <c r="K1" s="1675"/>
      <c r="L1" s="1675"/>
      <c r="M1" s="1676"/>
      <c r="N1" s="1676"/>
      <c r="O1" s="1676"/>
      <c r="P1" s="1675"/>
      <c r="Q1" s="1675"/>
      <c r="R1" s="1675"/>
      <c r="S1" s="1675"/>
      <c r="T1" s="1675"/>
      <c r="U1" s="1675"/>
      <c r="V1" s="1675"/>
      <c r="W1" s="1675"/>
      <c r="X1" s="1675"/>
      <c r="Y1" s="1675"/>
      <c r="Z1" s="1675"/>
      <c r="AA1" s="1675"/>
    </row>
    <row r="2" spans="1:27" ht="14.25" customHeight="1" x14ac:dyDescent="0.3">
      <c r="A2" s="2752" t="s">
        <v>1935</v>
      </c>
      <c r="B2" s="2753"/>
      <c r="C2" s="2753"/>
      <c r="D2" s="2753"/>
      <c r="E2" s="2753"/>
      <c r="F2" s="2754"/>
      <c r="G2" s="1673"/>
      <c r="H2" s="1674"/>
      <c r="I2" s="1675"/>
      <c r="J2" s="1675"/>
      <c r="K2" s="1675"/>
      <c r="L2" s="1675"/>
      <c r="M2" s="1676"/>
      <c r="N2" s="1676"/>
      <c r="O2" s="1676"/>
      <c r="P2" s="1675"/>
      <c r="Q2" s="1675"/>
      <c r="R2" s="1675"/>
      <c r="S2" s="1675"/>
      <c r="T2" s="1675"/>
      <c r="U2" s="1675"/>
      <c r="V2" s="1675"/>
      <c r="W2" s="1675"/>
      <c r="X2" s="1675"/>
      <c r="Y2" s="1675"/>
      <c r="Z2" s="1675"/>
      <c r="AA2" s="1675"/>
    </row>
    <row r="3" spans="1:27" ht="13.5" customHeight="1" x14ac:dyDescent="0.3">
      <c r="A3" s="1673"/>
      <c r="B3" s="1675"/>
      <c r="C3" s="1678"/>
      <c r="D3" s="1678"/>
      <c r="E3" s="1678"/>
      <c r="F3" s="1679"/>
      <c r="G3" s="1673"/>
      <c r="H3" s="1674"/>
      <c r="I3" s="1675"/>
      <c r="J3" s="1675"/>
      <c r="K3" s="1675"/>
      <c r="L3" s="1675"/>
      <c r="M3" s="1676"/>
      <c r="N3" s="1676"/>
      <c r="O3" s="1676"/>
      <c r="P3" s="1675"/>
      <c r="Q3" s="1675"/>
      <c r="R3" s="1675"/>
      <c r="S3" s="1675"/>
      <c r="T3" s="1675"/>
      <c r="U3" s="1675"/>
      <c r="V3" s="1675"/>
      <c r="W3" s="1675"/>
      <c r="X3" s="1675"/>
      <c r="Y3" s="1675"/>
      <c r="Z3" s="1675"/>
      <c r="AA3" s="1675"/>
    </row>
    <row r="4" spans="1:27" ht="14.25" customHeight="1" x14ac:dyDescent="0.3">
      <c r="A4" s="2752" t="s">
        <v>1936</v>
      </c>
      <c r="B4" s="2753"/>
      <c r="C4" s="2753"/>
      <c r="D4" s="2753"/>
      <c r="E4" s="2753"/>
      <c r="F4" s="2754"/>
      <c r="G4" s="1673"/>
      <c r="H4" s="1674"/>
      <c r="I4" s="1675"/>
      <c r="J4" s="1675"/>
      <c r="K4" s="1675"/>
      <c r="L4" s="1675"/>
      <c r="M4" s="1676"/>
      <c r="N4" s="1676"/>
      <c r="O4" s="1676"/>
      <c r="P4" s="1675"/>
      <c r="Q4" s="1675"/>
      <c r="R4" s="1675"/>
      <c r="S4" s="1675"/>
      <c r="T4" s="1675"/>
      <c r="U4" s="1675"/>
      <c r="V4" s="1675"/>
      <c r="W4" s="1675"/>
      <c r="X4" s="1675"/>
      <c r="Y4" s="1675"/>
      <c r="Z4" s="1675"/>
      <c r="AA4" s="1675"/>
    </row>
    <row r="5" spans="1:27" ht="13.5" customHeight="1" thickBot="1" x14ac:dyDescent="0.35">
      <c r="A5" s="1680"/>
      <c r="B5" s="1681"/>
      <c r="C5" s="1682"/>
      <c r="D5" s="1682"/>
      <c r="E5" s="1682"/>
      <c r="F5" s="1683"/>
      <c r="G5" s="1680"/>
      <c r="H5" s="1674"/>
      <c r="I5" s="1675"/>
      <c r="J5" s="1675"/>
      <c r="K5" s="1675">
        <v>719041540</v>
      </c>
      <c r="L5" s="1675"/>
      <c r="M5" s="1676"/>
      <c r="N5" s="1676"/>
      <c r="O5" s="1676"/>
      <c r="P5" s="1675"/>
      <c r="Q5" s="1675"/>
      <c r="R5" s="1675"/>
      <c r="S5" s="1675"/>
      <c r="T5" s="1675"/>
      <c r="U5" s="1675"/>
      <c r="V5" s="1675"/>
      <c r="W5" s="1675"/>
      <c r="X5" s="1675"/>
      <c r="Y5" s="1675"/>
      <c r="Z5" s="1675"/>
      <c r="AA5" s="1675"/>
    </row>
    <row r="6" spans="1:27" ht="28.2" thickBot="1" x14ac:dyDescent="0.35">
      <c r="A6" s="1684" t="s">
        <v>13</v>
      </c>
      <c r="B6" s="1684" t="s">
        <v>1</v>
      </c>
      <c r="C6" s="1684" t="s">
        <v>3</v>
      </c>
      <c r="D6" s="1685" t="s">
        <v>1937</v>
      </c>
      <c r="E6" s="1685" t="s">
        <v>1938</v>
      </c>
      <c r="F6" s="1684" t="s">
        <v>1939</v>
      </c>
      <c r="G6" s="1685" t="s">
        <v>1940</v>
      </c>
      <c r="H6" s="1674"/>
      <c r="I6" s="1675"/>
      <c r="J6" s="1675"/>
      <c r="K6" s="1675"/>
      <c r="L6" s="1675"/>
      <c r="M6" s="1676"/>
      <c r="N6" s="1676"/>
      <c r="O6" s="1676"/>
      <c r="P6" s="1675"/>
      <c r="Q6" s="1675"/>
      <c r="R6" s="1675"/>
      <c r="S6" s="1675"/>
      <c r="T6" s="1675"/>
      <c r="U6" s="1675"/>
      <c r="V6" s="1675"/>
      <c r="W6" s="1675"/>
      <c r="X6" s="1675"/>
      <c r="Y6" s="1675"/>
      <c r="Z6" s="1675"/>
      <c r="AA6" s="1675"/>
    </row>
    <row r="7" spans="1:27" ht="13.5" customHeight="1" x14ac:dyDescent="0.3">
      <c r="A7" s="1686"/>
      <c r="B7" s="1686"/>
      <c r="C7" s="1687"/>
      <c r="D7" s="1688"/>
      <c r="E7" s="1688"/>
      <c r="F7" s="1688"/>
      <c r="G7" s="1689"/>
      <c r="H7" s="1674"/>
      <c r="I7" s="1675"/>
      <c r="J7" s="1675"/>
      <c r="K7" s="1675"/>
      <c r="L7" s="1675"/>
      <c r="M7" s="1676"/>
      <c r="N7" s="1676"/>
      <c r="O7" s="1676"/>
      <c r="P7" s="1675"/>
      <c r="Q7" s="1675"/>
      <c r="R7" s="1675"/>
      <c r="S7" s="1675"/>
      <c r="T7" s="1675"/>
      <c r="U7" s="1675"/>
      <c r="V7" s="1675"/>
      <c r="W7" s="1675"/>
      <c r="X7" s="1675"/>
      <c r="Y7" s="1675"/>
      <c r="Z7" s="1675"/>
      <c r="AA7" s="1675"/>
    </row>
    <row r="8" spans="1:27" ht="13.5" customHeight="1" x14ac:dyDescent="0.3">
      <c r="A8" s="1690"/>
      <c r="B8" s="1691" t="s">
        <v>1941</v>
      </c>
      <c r="C8" s="1692"/>
      <c r="D8" s="1693"/>
      <c r="E8" s="1693"/>
      <c r="F8" s="1693"/>
      <c r="G8" s="1689"/>
      <c r="H8" s="1674"/>
      <c r="I8" s="1675"/>
      <c r="J8" s="1675"/>
      <c r="K8" s="1675"/>
      <c r="L8" s="1675" t="s">
        <v>1942</v>
      </c>
      <c r="M8" s="1676">
        <v>2100</v>
      </c>
      <c r="N8" s="1676">
        <v>1920</v>
      </c>
      <c r="O8" s="1676"/>
      <c r="P8" s="1675"/>
      <c r="Q8" s="1675"/>
      <c r="R8" s="1675"/>
      <c r="S8" s="1675"/>
      <c r="T8" s="1675"/>
      <c r="U8" s="1675"/>
      <c r="V8" s="1675"/>
      <c r="W8" s="1675"/>
      <c r="X8" s="1675"/>
      <c r="Y8" s="1675"/>
      <c r="Z8" s="1675"/>
      <c r="AA8" s="1675"/>
    </row>
    <row r="9" spans="1:27" ht="13.5" customHeight="1" x14ac:dyDescent="0.3">
      <c r="A9" s="1690"/>
      <c r="B9" s="1690"/>
      <c r="C9" s="1692"/>
      <c r="D9" s="1693"/>
      <c r="E9" s="1693"/>
      <c r="F9" s="1693"/>
      <c r="G9" s="1689"/>
      <c r="H9" s="1674"/>
      <c r="I9" s="1675"/>
      <c r="J9" s="1675"/>
      <c r="K9" s="1675"/>
      <c r="L9" s="1675" t="s">
        <v>1943</v>
      </c>
      <c r="M9" s="1676">
        <v>2200</v>
      </c>
      <c r="N9" s="1676">
        <v>2050</v>
      </c>
      <c r="O9" s="1676"/>
      <c r="P9" s="1675"/>
      <c r="Q9" s="1675"/>
      <c r="R9" s="1675"/>
      <c r="S9" s="1675"/>
      <c r="T9" s="1675"/>
      <c r="U9" s="1675"/>
      <c r="V9" s="1675"/>
      <c r="W9" s="1675"/>
      <c r="X9" s="1675"/>
      <c r="Y9" s="1675"/>
      <c r="Z9" s="1675"/>
      <c r="AA9" s="1675"/>
    </row>
    <row r="10" spans="1:27" s="1701" customFormat="1" ht="13.5" customHeight="1" x14ac:dyDescent="0.3">
      <c r="A10" s="1694"/>
      <c r="B10" s="1695" t="s">
        <v>1944</v>
      </c>
      <c r="C10" s="1696" t="s">
        <v>1945</v>
      </c>
      <c r="D10" s="1697">
        <v>2100</v>
      </c>
      <c r="E10" s="1697"/>
      <c r="F10" s="1697"/>
      <c r="G10" s="1698">
        <f t="shared" ref="G10:G11" si="0">E10-D10</f>
        <v>-2100</v>
      </c>
      <c r="H10" s="1698"/>
      <c r="I10" s="1699"/>
      <c r="J10" s="1699"/>
      <c r="K10" s="1699"/>
      <c r="L10" s="1699" t="s">
        <v>1946</v>
      </c>
      <c r="M10" s="1700">
        <v>2200</v>
      </c>
      <c r="N10" s="1700">
        <v>2050</v>
      </c>
      <c r="O10" s="1700"/>
      <c r="P10" s="1699"/>
      <c r="Q10" s="1699"/>
      <c r="R10" s="1699"/>
      <c r="S10" s="1699"/>
      <c r="T10" s="1699"/>
      <c r="U10" s="1699"/>
      <c r="V10" s="1699"/>
      <c r="W10" s="1699"/>
      <c r="X10" s="1699"/>
      <c r="Y10" s="1699"/>
      <c r="Z10" s="1699"/>
      <c r="AA10" s="1699"/>
    </row>
    <row r="11" spans="1:27" ht="13.5" customHeight="1" x14ac:dyDescent="0.3">
      <c r="A11" s="1694"/>
      <c r="B11" s="1702"/>
      <c r="C11" s="1696"/>
      <c r="D11" s="1697"/>
      <c r="E11" s="1697"/>
      <c r="F11" s="1697"/>
      <c r="G11" s="1674">
        <f t="shared" si="0"/>
        <v>0</v>
      </c>
      <c r="H11" s="1674"/>
      <c r="I11" s="1675"/>
      <c r="J11" s="1675"/>
      <c r="K11" s="1675"/>
      <c r="L11" s="1675"/>
      <c r="M11" s="1676"/>
      <c r="N11" s="1676"/>
      <c r="O11" s="1676"/>
      <c r="P11" s="1675"/>
      <c r="Q11" s="1675"/>
      <c r="R11" s="1675"/>
      <c r="S11" s="1675"/>
      <c r="T11" s="1675"/>
      <c r="U11" s="1675"/>
      <c r="V11" s="1675"/>
      <c r="W11" s="1675"/>
      <c r="X11" s="1675"/>
      <c r="Y11" s="1675"/>
      <c r="Z11" s="1675"/>
      <c r="AA11" s="1675"/>
    </row>
    <row r="12" spans="1:27" ht="13.5" customHeight="1" x14ac:dyDescent="0.3">
      <c r="A12" s="1694"/>
      <c r="B12" s="1695" t="s">
        <v>1947</v>
      </c>
      <c r="C12" s="1696"/>
      <c r="D12" s="1697"/>
      <c r="E12" s="1697"/>
      <c r="F12" s="1697"/>
      <c r="G12" s="1674"/>
      <c r="H12" s="1674"/>
      <c r="I12" s="1675"/>
      <c r="J12" s="1675"/>
      <c r="K12" s="1675"/>
      <c r="L12" s="1675"/>
      <c r="M12" s="1676"/>
      <c r="N12" s="1676"/>
      <c r="O12" s="1676"/>
      <c r="P12" s="1675"/>
      <c r="Q12" s="1675"/>
      <c r="R12" s="1675"/>
      <c r="S12" s="1675"/>
      <c r="T12" s="1675"/>
      <c r="U12" s="1675"/>
      <c r="V12" s="1675"/>
      <c r="W12" s="1675"/>
      <c r="X12" s="1675"/>
      <c r="Y12" s="1675"/>
      <c r="Z12" s="1675"/>
      <c r="AA12" s="1675"/>
    </row>
    <row r="13" spans="1:27" s="1701" customFormat="1" ht="13.5" customHeight="1" x14ac:dyDescent="0.3">
      <c r="A13" s="1694"/>
      <c r="B13" s="1703" t="s">
        <v>1948</v>
      </c>
      <c r="C13" s="1696" t="s">
        <v>131</v>
      </c>
      <c r="D13" s="1697"/>
      <c r="E13" s="1697">
        <v>23500</v>
      </c>
      <c r="F13" s="1697"/>
      <c r="G13" s="1698">
        <f t="shared" ref="G13:G15" si="1">E13-D13</f>
        <v>23500</v>
      </c>
      <c r="H13" s="1698">
        <v>1080</v>
      </c>
      <c r="I13" s="1699">
        <v>800</v>
      </c>
      <c r="J13" s="1699"/>
      <c r="K13" s="1699"/>
      <c r="L13" s="1699" t="s">
        <v>1949</v>
      </c>
      <c r="M13" s="1700">
        <v>1274</v>
      </c>
      <c r="N13" s="1700"/>
      <c r="O13" s="1700"/>
      <c r="P13" s="1699"/>
      <c r="Q13" s="1699"/>
      <c r="R13" s="1699"/>
      <c r="S13" s="1699"/>
      <c r="T13" s="1699"/>
      <c r="U13" s="1699"/>
      <c r="V13" s="1699"/>
      <c r="W13" s="1699"/>
      <c r="X13" s="1699"/>
      <c r="Y13" s="1699"/>
      <c r="Z13" s="1699"/>
      <c r="AA13" s="1699"/>
    </row>
    <row r="14" spans="1:27" ht="13.5" customHeight="1" x14ac:dyDescent="0.3">
      <c r="A14" s="1690"/>
      <c r="B14" s="1704" t="s">
        <v>1950</v>
      </c>
      <c r="C14" s="1692" t="s">
        <v>131</v>
      </c>
      <c r="D14" s="1697"/>
      <c r="E14" s="1697"/>
      <c r="F14" s="1693"/>
      <c r="G14" s="1674">
        <f t="shared" si="1"/>
        <v>0</v>
      </c>
      <c r="H14" s="1674"/>
      <c r="I14" s="1675"/>
      <c r="J14" s="1675"/>
      <c r="K14" s="1675"/>
      <c r="L14" s="1675"/>
      <c r="M14" s="1676"/>
      <c r="N14" s="1676"/>
      <c r="O14" s="1676"/>
      <c r="P14" s="1675"/>
      <c r="Q14" s="1675"/>
      <c r="R14" s="1675"/>
      <c r="S14" s="1675"/>
      <c r="T14" s="1675"/>
      <c r="U14" s="1675"/>
      <c r="V14" s="1675"/>
      <c r="W14" s="1675"/>
      <c r="X14" s="1675"/>
      <c r="Y14" s="1675"/>
      <c r="Z14" s="1675"/>
      <c r="AA14" s="1675"/>
    </row>
    <row r="15" spans="1:27" ht="13.5" customHeight="1" x14ac:dyDescent="0.3">
      <c r="A15" s="1690"/>
      <c r="B15" s="1704" t="s">
        <v>1951</v>
      </c>
      <c r="C15" s="1692" t="s">
        <v>131</v>
      </c>
      <c r="D15" s="1697"/>
      <c r="E15" s="1697"/>
      <c r="F15" s="1693"/>
      <c r="G15" s="1674">
        <f t="shared" si="1"/>
        <v>0</v>
      </c>
      <c r="H15" s="1674"/>
      <c r="I15" s="1675"/>
      <c r="J15" s="1675"/>
      <c r="K15" s="1675"/>
      <c r="L15" s="1675"/>
      <c r="M15" s="1676"/>
      <c r="N15" s="1676"/>
      <c r="O15" s="1676"/>
      <c r="P15" s="1675"/>
      <c r="Q15" s="1675"/>
      <c r="R15" s="1675"/>
      <c r="S15" s="1675"/>
      <c r="T15" s="1675"/>
      <c r="U15" s="1675"/>
      <c r="V15" s="1675"/>
      <c r="W15" s="1675"/>
      <c r="X15" s="1675"/>
      <c r="Y15" s="1675"/>
      <c r="Z15" s="1675"/>
      <c r="AA15" s="1675"/>
    </row>
    <row r="16" spans="1:27" ht="13.5" customHeight="1" x14ac:dyDescent="0.3">
      <c r="A16" s="1690"/>
      <c r="B16" s="1704"/>
      <c r="C16" s="1692"/>
      <c r="D16" s="1697"/>
      <c r="E16" s="1697"/>
      <c r="F16" s="1693"/>
      <c r="G16" s="1674"/>
      <c r="H16" s="1674"/>
      <c r="I16" s="1675"/>
      <c r="J16" s="1675"/>
      <c r="K16" s="1675"/>
      <c r="L16" s="1675"/>
      <c r="M16" s="1676" t="s">
        <v>1952</v>
      </c>
      <c r="N16" s="1676" t="s">
        <v>1949</v>
      </c>
      <c r="O16" s="1676" t="s">
        <v>1953</v>
      </c>
      <c r="P16" s="1676" t="s">
        <v>1954</v>
      </c>
      <c r="Q16" s="1676" t="s">
        <v>1955</v>
      </c>
      <c r="R16" s="1675"/>
      <c r="S16" s="1675">
        <f>16*16</f>
        <v>256</v>
      </c>
      <c r="T16" s="1675">
        <f>S16/162.162</f>
        <v>1.5786682453349119</v>
      </c>
      <c r="U16" s="1675"/>
      <c r="V16" s="1675"/>
      <c r="W16" s="1675"/>
      <c r="X16" s="1675"/>
      <c r="Y16" s="1675"/>
      <c r="Z16" s="1675"/>
      <c r="AA16" s="1675"/>
    </row>
    <row r="17" spans="1:27" ht="13.5" customHeight="1" x14ac:dyDescent="0.3">
      <c r="A17" s="1690"/>
      <c r="B17" s="1705" t="s">
        <v>1956</v>
      </c>
      <c r="C17" s="1692" t="s">
        <v>131</v>
      </c>
      <c r="D17" s="1706"/>
      <c r="E17" s="1697">
        <v>13500</v>
      </c>
      <c r="F17" s="1697"/>
      <c r="G17" s="1674"/>
      <c r="H17" s="1674"/>
      <c r="I17" s="1675"/>
      <c r="J17" s="1675"/>
      <c r="K17" s="1675"/>
      <c r="L17" s="1675"/>
      <c r="M17" s="1676"/>
      <c r="N17" s="1676">
        <v>1274</v>
      </c>
      <c r="O17" s="1676">
        <v>1879</v>
      </c>
      <c r="P17" s="1676">
        <v>3370</v>
      </c>
      <c r="Q17" s="1676"/>
      <c r="R17" s="1675"/>
      <c r="S17" s="1675"/>
      <c r="T17" s="1675"/>
      <c r="U17" s="1675"/>
      <c r="V17" s="1675"/>
      <c r="W17" s="1675"/>
      <c r="X17" s="1675"/>
      <c r="Y17" s="1675"/>
      <c r="Z17" s="1675"/>
      <c r="AA17" s="1675"/>
    </row>
    <row r="18" spans="1:27" ht="13.5" customHeight="1" x14ac:dyDescent="0.3">
      <c r="A18" s="1690"/>
      <c r="B18" s="1705" t="s">
        <v>1957</v>
      </c>
      <c r="C18" s="1692" t="s">
        <v>131</v>
      </c>
      <c r="D18" s="1706"/>
      <c r="E18" s="1697"/>
      <c r="F18" s="1693"/>
      <c r="G18" s="1674"/>
      <c r="H18" s="1674"/>
      <c r="I18" s="1675"/>
      <c r="J18" s="1675"/>
      <c r="K18" s="1675"/>
      <c r="L18" s="1675"/>
      <c r="M18" s="1676"/>
      <c r="N18" s="1676"/>
      <c r="O18" s="1676"/>
      <c r="P18" s="1676"/>
      <c r="Q18" s="1676"/>
      <c r="R18" s="1675"/>
      <c r="S18" s="1675"/>
      <c r="T18" s="1675"/>
      <c r="U18" s="1675"/>
      <c r="V18" s="1675"/>
      <c r="W18" s="1675"/>
      <c r="X18" s="1675"/>
      <c r="Y18" s="1675"/>
      <c r="Z18" s="1675"/>
      <c r="AA18" s="1675"/>
    </row>
    <row r="19" spans="1:27" ht="13.5" customHeight="1" x14ac:dyDescent="0.3">
      <c r="A19" s="1690"/>
      <c r="B19" s="1705"/>
      <c r="C19" s="1692"/>
      <c r="D19" s="1706"/>
      <c r="E19" s="1697"/>
      <c r="F19" s="1693"/>
      <c r="G19" s="1674"/>
      <c r="H19" s="1674"/>
      <c r="I19" s="1675"/>
      <c r="J19" s="1675"/>
      <c r="K19" s="1675"/>
      <c r="L19" s="1675"/>
      <c r="M19" s="1676"/>
      <c r="N19" s="1676"/>
      <c r="O19" s="1676"/>
      <c r="P19" s="1676"/>
      <c r="Q19" s="1676"/>
      <c r="R19" s="1675"/>
      <c r="S19" s="1675"/>
      <c r="T19" s="1675"/>
      <c r="U19" s="1675"/>
      <c r="V19" s="1675"/>
      <c r="W19" s="1675"/>
      <c r="X19" s="1675"/>
      <c r="Y19" s="1675"/>
      <c r="Z19" s="1675"/>
      <c r="AA19" s="1675"/>
    </row>
    <row r="20" spans="1:27" ht="13.5" customHeight="1" x14ac:dyDescent="0.3">
      <c r="A20" s="1690"/>
      <c r="B20" s="1705" t="s">
        <v>1958</v>
      </c>
      <c r="C20" s="1692" t="s">
        <v>131</v>
      </c>
      <c r="D20" s="1706"/>
      <c r="E20" s="1697">
        <v>14500</v>
      </c>
      <c r="F20" s="1697"/>
      <c r="G20" s="1674"/>
      <c r="H20" s="1674"/>
      <c r="I20" s="1675"/>
      <c r="J20" s="1675"/>
      <c r="K20" s="1675"/>
      <c r="L20" s="1675" t="s">
        <v>1959</v>
      </c>
      <c r="M20" s="1676">
        <v>380</v>
      </c>
      <c r="N20" s="1676"/>
      <c r="O20" s="1676"/>
      <c r="P20" s="1676"/>
      <c r="Q20" s="1676"/>
      <c r="R20" s="1675"/>
      <c r="S20" s="1675"/>
      <c r="T20" s="1675"/>
      <c r="U20" s="1675"/>
      <c r="V20" s="1675"/>
      <c r="W20" s="1675"/>
      <c r="X20" s="1675"/>
      <c r="Y20" s="1675"/>
      <c r="Z20" s="1675"/>
      <c r="AA20" s="1675"/>
    </row>
    <row r="21" spans="1:27" ht="13.5" customHeight="1" x14ac:dyDescent="0.3">
      <c r="A21" s="1690"/>
      <c r="B21" s="1705" t="s">
        <v>1960</v>
      </c>
      <c r="C21" s="1692" t="s">
        <v>131</v>
      </c>
      <c r="D21" s="1706"/>
      <c r="E21" s="1697"/>
      <c r="F21" s="1693"/>
      <c r="G21" s="1674"/>
      <c r="H21" s="1674"/>
      <c r="I21" s="1675"/>
      <c r="J21" s="1675"/>
      <c r="K21" s="1675"/>
      <c r="L21" s="1675"/>
      <c r="M21" s="1676"/>
      <c r="N21" s="1676"/>
      <c r="O21" s="1676"/>
      <c r="P21" s="1676"/>
      <c r="Q21" s="1676"/>
      <c r="R21" s="1675"/>
      <c r="S21" s="1675"/>
      <c r="T21" s="1675"/>
      <c r="U21" s="1675"/>
      <c r="V21" s="1675"/>
      <c r="W21" s="1675"/>
      <c r="X21" s="1675"/>
      <c r="Y21" s="1675"/>
      <c r="Z21" s="1675"/>
      <c r="AA21" s="1675"/>
    </row>
    <row r="22" spans="1:27" ht="13.5" customHeight="1" x14ac:dyDescent="0.3">
      <c r="A22" s="1690"/>
      <c r="B22" s="1705"/>
      <c r="C22" s="1692"/>
      <c r="D22" s="1706"/>
      <c r="E22" s="1697"/>
      <c r="F22" s="1693"/>
      <c r="G22" s="1674"/>
      <c r="H22" s="1674"/>
      <c r="I22" s="1675"/>
      <c r="J22" s="1675"/>
      <c r="K22" s="1675"/>
      <c r="L22" s="1675"/>
      <c r="M22" s="1676">
        <v>150</v>
      </c>
      <c r="N22" s="1676">
        <v>17400</v>
      </c>
      <c r="O22" s="1676"/>
      <c r="P22" s="1676"/>
      <c r="Q22" s="1676"/>
      <c r="R22" s="1675"/>
      <c r="S22" s="1675"/>
      <c r="T22" s="1675"/>
      <c r="U22" s="1675"/>
      <c r="V22" s="1675"/>
      <c r="W22" s="1675"/>
      <c r="X22" s="1675"/>
      <c r="Y22" s="1675"/>
      <c r="Z22" s="1675"/>
      <c r="AA22" s="1675"/>
    </row>
    <row r="23" spans="1:27" ht="13.5" customHeight="1" x14ac:dyDescent="0.3">
      <c r="A23" s="1690"/>
      <c r="B23" s="1705" t="s">
        <v>1961</v>
      </c>
      <c r="C23" s="1692" t="s">
        <v>131</v>
      </c>
      <c r="D23" s="1707"/>
      <c r="E23" s="1697">
        <v>8000</v>
      </c>
      <c r="F23" s="1697"/>
      <c r="G23" s="1674"/>
      <c r="H23" s="1674"/>
      <c r="I23" s="1675"/>
      <c r="J23" s="1675"/>
      <c r="K23" s="1675"/>
      <c r="L23" s="1675"/>
      <c r="M23" s="1676"/>
      <c r="N23" s="1676"/>
      <c r="O23" s="1676"/>
      <c r="P23" s="1676"/>
      <c r="Q23" s="1676"/>
      <c r="R23" s="1675"/>
      <c r="S23" s="1675"/>
      <c r="T23" s="1675"/>
      <c r="U23" s="1675"/>
      <c r="V23" s="1675"/>
      <c r="W23" s="1675"/>
      <c r="X23" s="1675"/>
      <c r="Y23" s="1675"/>
      <c r="Z23" s="1675"/>
      <c r="AA23" s="1675"/>
    </row>
    <row r="24" spans="1:27" ht="13.5" customHeight="1" x14ac:dyDescent="0.3">
      <c r="A24" s="1690"/>
      <c r="B24" s="1705" t="s">
        <v>1962</v>
      </c>
      <c r="C24" s="1692" t="s">
        <v>131</v>
      </c>
      <c r="D24" s="1707"/>
      <c r="E24" s="1697">
        <v>17000</v>
      </c>
      <c r="F24" s="1693"/>
      <c r="G24" s="1674"/>
      <c r="H24" s="1674"/>
      <c r="I24" s="1675"/>
      <c r="J24" s="1675"/>
      <c r="K24" s="1675"/>
      <c r="L24" s="1675"/>
      <c r="M24" s="1676"/>
      <c r="N24" s="1676"/>
      <c r="O24" s="1676"/>
      <c r="P24" s="1676"/>
      <c r="Q24" s="1676"/>
      <c r="R24" s="1675"/>
      <c r="S24" s="1675"/>
      <c r="T24" s="1675"/>
      <c r="U24" s="1675"/>
      <c r="V24" s="1675"/>
      <c r="W24" s="1675"/>
      <c r="X24" s="1675"/>
      <c r="Y24" s="1675"/>
      <c r="Z24" s="1675"/>
      <c r="AA24" s="1675"/>
    </row>
    <row r="25" spans="1:27" ht="13.5" customHeight="1" x14ac:dyDescent="0.3">
      <c r="A25" s="1690"/>
      <c r="B25" s="1705" t="s">
        <v>1963</v>
      </c>
      <c r="C25" s="1692" t="s">
        <v>131</v>
      </c>
      <c r="D25" s="1707"/>
      <c r="E25" s="1697"/>
      <c r="F25" s="1693"/>
      <c r="G25" s="1674"/>
      <c r="H25" s="1674"/>
      <c r="I25" s="1675"/>
      <c r="J25" s="1675"/>
      <c r="K25" s="1675"/>
      <c r="L25" s="1675"/>
      <c r="M25" s="1676"/>
      <c r="N25" s="1676"/>
      <c r="O25" s="1676"/>
      <c r="P25" s="1676"/>
      <c r="Q25" s="1676"/>
      <c r="R25" s="1675"/>
      <c r="S25" s="1675"/>
      <c r="T25" s="1675"/>
      <c r="U25" s="1675"/>
      <c r="V25" s="1675"/>
      <c r="W25" s="1675"/>
      <c r="X25" s="1675"/>
      <c r="Y25" s="1675"/>
      <c r="Z25" s="1675"/>
      <c r="AA25" s="1675"/>
    </row>
    <row r="26" spans="1:27" ht="13.5" customHeight="1" x14ac:dyDescent="0.3">
      <c r="A26" s="1690"/>
      <c r="B26" s="1704"/>
      <c r="C26" s="1692"/>
      <c r="D26" s="1707"/>
      <c r="E26" s="1697"/>
      <c r="F26" s="1693"/>
      <c r="G26" s="1674"/>
      <c r="H26" s="1674"/>
      <c r="I26" s="1675"/>
      <c r="J26" s="1675"/>
      <c r="K26" s="1675"/>
      <c r="L26" s="1675"/>
      <c r="M26" s="1676"/>
      <c r="N26" s="1676"/>
      <c r="O26" s="1676"/>
      <c r="P26" s="1676"/>
      <c r="Q26" s="1676"/>
      <c r="R26" s="1675"/>
      <c r="S26" s="1675"/>
      <c r="T26" s="1675"/>
      <c r="U26" s="1675"/>
      <c r="V26" s="1675"/>
      <c r="W26" s="1675"/>
      <c r="X26" s="1675"/>
      <c r="Y26" s="1675"/>
      <c r="Z26" s="1675"/>
      <c r="AA26" s="1675"/>
    </row>
    <row r="27" spans="1:27" ht="13.5" customHeight="1" x14ac:dyDescent="0.3">
      <c r="A27" s="1690"/>
      <c r="B27" s="1704"/>
      <c r="C27" s="1692"/>
      <c r="D27" s="1707"/>
      <c r="E27" s="1697"/>
      <c r="F27" s="1693"/>
      <c r="G27" s="1674"/>
      <c r="H27" s="1674"/>
      <c r="I27" s="1675"/>
      <c r="J27" s="1675"/>
      <c r="K27" s="1675"/>
      <c r="L27" s="1675"/>
      <c r="M27" s="1676"/>
      <c r="N27" s="1676"/>
      <c r="O27" s="1676"/>
      <c r="P27" s="1676"/>
      <c r="Q27" s="1676"/>
      <c r="R27" s="1675"/>
      <c r="S27" s="1675"/>
      <c r="T27" s="1675"/>
      <c r="U27" s="1675"/>
      <c r="V27" s="1675"/>
      <c r="W27" s="1675"/>
      <c r="X27" s="1675"/>
      <c r="Y27" s="1675"/>
      <c r="Z27" s="1675"/>
      <c r="AA27" s="1675"/>
    </row>
    <row r="28" spans="1:27" s="1701" customFormat="1" ht="13.5" customHeight="1" x14ac:dyDescent="0.3">
      <c r="A28" s="1694"/>
      <c r="B28" s="1708" t="s">
        <v>1964</v>
      </c>
      <c r="C28" s="1696"/>
      <c r="D28" s="1709"/>
      <c r="E28" s="1697"/>
      <c r="F28" s="1697"/>
      <c r="G28" s="1698"/>
      <c r="H28" s="1698"/>
      <c r="I28" s="1699"/>
      <c r="J28" s="1699"/>
      <c r="K28" s="1699"/>
      <c r="L28" s="1699"/>
      <c r="M28" s="1700"/>
      <c r="N28" s="1700"/>
      <c r="O28" s="1700"/>
      <c r="P28" s="1699"/>
      <c r="Q28" s="1699"/>
      <c r="R28" s="1699"/>
      <c r="S28" s="1699">
        <f>20*20</f>
        <v>400</v>
      </c>
      <c r="T28" s="1699">
        <f>S28/162.162</f>
        <v>2.4666691333357997</v>
      </c>
      <c r="U28" s="1699"/>
      <c r="V28" s="1699"/>
      <c r="W28" s="1699"/>
      <c r="X28" s="1699"/>
      <c r="Y28" s="1699"/>
      <c r="Z28" s="1699"/>
      <c r="AA28" s="1699"/>
    </row>
    <row r="29" spans="1:27" s="1701" customFormat="1" ht="13.5" customHeight="1" x14ac:dyDescent="0.3">
      <c r="A29" s="1694"/>
      <c r="B29" s="1710" t="s">
        <v>1965</v>
      </c>
      <c r="C29" s="1696"/>
      <c r="D29" s="1697"/>
      <c r="E29" s="1697"/>
      <c r="F29" s="1697"/>
      <c r="G29" s="1698"/>
      <c r="H29" s="1698"/>
      <c r="I29" s="1699"/>
      <c r="J29" s="1699"/>
      <c r="K29" s="1699"/>
      <c r="L29" s="1699" t="s">
        <v>1942</v>
      </c>
      <c r="M29" s="1700"/>
      <c r="N29" s="1700">
        <v>1285</v>
      </c>
      <c r="O29" s="1700">
        <v>1895</v>
      </c>
      <c r="P29" s="1699">
        <v>3397</v>
      </c>
      <c r="Q29" s="1699">
        <v>5374</v>
      </c>
      <c r="R29" s="1699"/>
      <c r="S29" s="1699"/>
      <c r="T29" s="1699"/>
      <c r="U29" s="1699"/>
      <c r="V29" s="1699"/>
      <c r="W29" s="1699"/>
      <c r="X29" s="1699"/>
      <c r="Y29" s="1699"/>
      <c r="Z29" s="1699"/>
      <c r="AA29" s="1699"/>
    </row>
    <row r="30" spans="1:27" ht="13.5" customHeight="1" x14ac:dyDescent="0.3">
      <c r="A30" s="1694"/>
      <c r="B30" s="1702" t="s">
        <v>1942</v>
      </c>
      <c r="C30" s="1696" t="s">
        <v>1966</v>
      </c>
      <c r="D30" s="1711">
        <v>365000</v>
      </c>
      <c r="E30" s="1697"/>
      <c r="F30" s="1697"/>
      <c r="G30" s="1674"/>
      <c r="H30" s="1674"/>
      <c r="I30" s="1675"/>
      <c r="J30" s="1675"/>
      <c r="K30" s="1712">
        <f>363059.05*1.15</f>
        <v>417517.90749999997</v>
      </c>
      <c r="L30" s="1711">
        <v>363059.05</v>
      </c>
      <c r="M30" s="1676"/>
      <c r="N30" s="1676"/>
      <c r="O30" s="1676"/>
      <c r="P30" s="1675"/>
      <c r="Q30" s="1675"/>
      <c r="R30" s="1675"/>
      <c r="S30" s="1675"/>
      <c r="T30" s="1675"/>
      <c r="U30" s="1675"/>
      <c r="V30" s="1675"/>
      <c r="W30" s="1675"/>
      <c r="X30" s="1675"/>
      <c r="Y30" s="1675"/>
      <c r="Z30" s="1675"/>
      <c r="AA30" s="1675"/>
    </row>
    <row r="31" spans="1:27" ht="13.5" customHeight="1" x14ac:dyDescent="0.3">
      <c r="A31" s="1694"/>
      <c r="B31" s="1702" t="s">
        <v>1967</v>
      </c>
      <c r="C31" s="1696" t="s">
        <v>1966</v>
      </c>
      <c r="D31" s="1697"/>
      <c r="E31" s="1697"/>
      <c r="F31" s="1697"/>
      <c r="G31" s="1674"/>
      <c r="H31" s="1674"/>
      <c r="I31" s="1675"/>
      <c r="J31" s="1675"/>
      <c r="K31" s="1675"/>
      <c r="L31" s="1675"/>
      <c r="M31" s="1676"/>
      <c r="N31" s="1676"/>
      <c r="O31" s="1676"/>
      <c r="P31" s="1675"/>
      <c r="Q31" s="1675"/>
      <c r="R31" s="1675"/>
      <c r="S31" s="1675"/>
      <c r="T31" s="1675"/>
      <c r="U31" s="1675"/>
      <c r="V31" s="1675"/>
      <c r="W31" s="1675"/>
      <c r="X31" s="1675"/>
      <c r="Y31" s="1675"/>
      <c r="Z31" s="1675"/>
      <c r="AA31" s="1675"/>
    </row>
    <row r="32" spans="1:27" ht="13.5" customHeight="1" x14ac:dyDescent="0.3">
      <c r="A32" s="1694"/>
      <c r="B32" s="1702" t="s">
        <v>1968</v>
      </c>
      <c r="C32" s="1696" t="s">
        <v>1966</v>
      </c>
      <c r="D32" s="1697"/>
      <c r="E32" s="1697"/>
      <c r="F32" s="1697"/>
      <c r="G32" s="1674"/>
      <c r="H32" s="1674"/>
      <c r="I32" s="1675"/>
      <c r="J32" s="1675"/>
      <c r="K32" s="1675"/>
      <c r="L32" s="1675"/>
      <c r="M32" s="1676"/>
      <c r="N32" s="1676">
        <v>0.61699999999999999</v>
      </c>
      <c r="O32" s="1676">
        <v>0.88800000000000001</v>
      </c>
      <c r="P32" s="1675">
        <v>1.579</v>
      </c>
      <c r="Q32" s="1675">
        <v>2.4670000000000001</v>
      </c>
      <c r="R32" s="1675"/>
      <c r="S32" s="1675"/>
      <c r="T32" s="1675"/>
      <c r="U32" s="1675"/>
      <c r="V32" s="1675"/>
      <c r="W32" s="1675"/>
      <c r="X32" s="1675"/>
      <c r="Y32" s="1675"/>
      <c r="Z32" s="1675"/>
      <c r="AA32" s="1675"/>
    </row>
    <row r="33" spans="1:27" ht="13.5" customHeight="1" x14ac:dyDescent="0.3">
      <c r="A33" s="1694"/>
      <c r="B33" s="1702" t="s">
        <v>1969</v>
      </c>
      <c r="C33" s="1696" t="s">
        <v>1966</v>
      </c>
      <c r="D33" s="1697"/>
      <c r="E33" s="1697"/>
      <c r="F33" s="1697"/>
      <c r="G33" s="1674"/>
      <c r="H33" s="1674"/>
      <c r="I33" s="1675"/>
      <c r="J33" s="1675"/>
      <c r="K33" s="1675"/>
      <c r="L33" s="1675"/>
      <c r="M33" s="1676"/>
      <c r="N33" s="1676">
        <f>N32*6</f>
        <v>3.702</v>
      </c>
      <c r="O33" s="1676">
        <f>O32*6</f>
        <v>5.3280000000000003</v>
      </c>
      <c r="P33" s="1675">
        <f>P32*6</f>
        <v>9.4740000000000002</v>
      </c>
      <c r="Q33" s="1675">
        <f>Q32*6</f>
        <v>14.802</v>
      </c>
      <c r="R33" s="1675"/>
      <c r="S33" s="1675"/>
      <c r="T33" s="1675"/>
      <c r="U33" s="1675"/>
      <c r="V33" s="1675"/>
      <c r="W33" s="1675"/>
      <c r="X33" s="1675"/>
      <c r="Y33" s="1675"/>
      <c r="Z33" s="1675"/>
      <c r="AA33" s="1675"/>
    </row>
    <row r="34" spans="1:27" ht="13.5" customHeight="1" x14ac:dyDescent="0.3">
      <c r="A34" s="1694"/>
      <c r="B34" s="1703"/>
      <c r="C34" s="1696"/>
      <c r="D34" s="1697"/>
      <c r="E34" s="1697"/>
      <c r="F34" s="1697"/>
      <c r="G34" s="1674"/>
      <c r="H34" s="1674"/>
      <c r="I34" s="1675"/>
      <c r="J34" s="1675"/>
      <c r="K34" s="1675"/>
      <c r="L34" s="1675"/>
      <c r="M34" s="1676"/>
      <c r="N34" s="1676"/>
      <c r="O34" s="1676"/>
      <c r="P34" s="1675"/>
      <c r="Q34" s="1675"/>
      <c r="R34" s="1675"/>
      <c r="S34" s="1675"/>
      <c r="T34" s="1675"/>
      <c r="U34" s="1675"/>
      <c r="V34" s="1675"/>
      <c r="W34" s="1675"/>
      <c r="X34" s="1675"/>
      <c r="Y34" s="1675"/>
      <c r="Z34" s="1675"/>
      <c r="AA34" s="1675"/>
    </row>
    <row r="35" spans="1:27" ht="13.5" customHeight="1" x14ac:dyDescent="0.3">
      <c r="A35" s="1694"/>
      <c r="B35" s="1708"/>
      <c r="C35" s="1696"/>
      <c r="D35" s="1697"/>
      <c r="E35" s="1697"/>
      <c r="F35" s="1697"/>
      <c r="G35" s="1674"/>
      <c r="H35" s="1674"/>
      <c r="I35" s="1675"/>
      <c r="J35" s="1675"/>
      <c r="K35" s="1675"/>
      <c r="L35" s="1675"/>
      <c r="M35" s="1676"/>
      <c r="N35" s="1676">
        <f>N29/N33</f>
        <v>347.10967044840629</v>
      </c>
      <c r="O35" s="1676">
        <f t="shared" ref="O35:Q35" si="2">O29/O33</f>
        <v>355.66816816816817</v>
      </c>
      <c r="P35" s="1676">
        <f t="shared" si="2"/>
        <v>358.56027021321512</v>
      </c>
      <c r="Q35" s="1676">
        <f t="shared" si="2"/>
        <v>363.05904607485473</v>
      </c>
      <c r="R35" s="1675"/>
      <c r="S35" s="1675"/>
      <c r="T35" s="1675"/>
      <c r="U35" s="1675"/>
      <c r="V35" s="1675"/>
      <c r="W35" s="1675"/>
      <c r="X35" s="1675"/>
      <c r="Y35" s="1675"/>
      <c r="Z35" s="1675"/>
      <c r="AA35" s="1675"/>
    </row>
    <row r="36" spans="1:27" s="1701" customFormat="1" ht="13.5" customHeight="1" x14ac:dyDescent="0.3">
      <c r="A36" s="1694"/>
      <c r="B36" s="1702" t="s">
        <v>1970</v>
      </c>
      <c r="C36" s="1696" t="s">
        <v>1971</v>
      </c>
      <c r="D36" s="1697">
        <v>360</v>
      </c>
      <c r="E36" s="1697"/>
      <c r="F36" s="1697"/>
      <c r="G36" s="1698"/>
      <c r="H36" s="1698"/>
      <c r="I36" s="1699"/>
      <c r="J36" s="1699"/>
      <c r="K36" s="1699"/>
      <c r="L36" s="1699"/>
      <c r="M36" s="1700"/>
      <c r="N36" s="1700"/>
      <c r="O36" s="1700"/>
      <c r="P36" s="1699"/>
      <c r="Q36" s="1699"/>
      <c r="R36" s="1699"/>
      <c r="S36" s="1699"/>
      <c r="T36" s="1699"/>
      <c r="U36" s="1699"/>
      <c r="V36" s="1699"/>
      <c r="W36" s="1699"/>
      <c r="X36" s="1699"/>
      <c r="Y36" s="1699"/>
      <c r="Z36" s="1699"/>
      <c r="AA36" s="1699"/>
    </row>
    <row r="37" spans="1:27" ht="13.5" customHeight="1" x14ac:dyDescent="0.3">
      <c r="A37" s="1690"/>
      <c r="B37" s="1704"/>
      <c r="C37" s="1692"/>
      <c r="D37" s="1693"/>
      <c r="E37" s="1697"/>
      <c r="F37" s="1693"/>
      <c r="G37" s="1674"/>
      <c r="H37" s="1674"/>
      <c r="I37" s="1675"/>
      <c r="J37" s="1675"/>
      <c r="K37" s="1675"/>
      <c r="L37" s="1675"/>
      <c r="M37" s="1676"/>
      <c r="N37" s="1676"/>
      <c r="O37" s="1676"/>
      <c r="P37" s="1675"/>
      <c r="Q37" s="1675"/>
      <c r="R37" s="1675"/>
      <c r="S37" s="1675"/>
      <c r="T37" s="1675"/>
      <c r="U37" s="1675"/>
      <c r="V37" s="1675"/>
      <c r="W37" s="1675"/>
      <c r="X37" s="1675"/>
      <c r="Y37" s="1675"/>
      <c r="Z37" s="1675"/>
      <c r="AA37" s="1675"/>
    </row>
    <row r="38" spans="1:27" ht="13.5" customHeight="1" x14ac:dyDescent="0.3">
      <c r="A38" s="1690"/>
      <c r="B38" s="1704"/>
      <c r="C38" s="1692"/>
      <c r="D38" s="1693"/>
      <c r="E38" s="1693"/>
      <c r="F38" s="1693"/>
      <c r="G38" s="1674"/>
      <c r="H38" s="1674"/>
      <c r="I38" s="1675"/>
      <c r="J38" s="1675"/>
      <c r="K38" s="1675"/>
      <c r="L38" s="1675"/>
      <c r="M38" s="1676"/>
      <c r="N38" s="1676"/>
      <c r="O38" s="1676"/>
      <c r="P38" s="1675"/>
      <c r="Q38" s="1675"/>
      <c r="R38" s="1675"/>
      <c r="S38" s="1675"/>
      <c r="T38" s="1675"/>
      <c r="U38" s="1675"/>
      <c r="V38" s="1675"/>
      <c r="W38" s="1675"/>
      <c r="X38" s="1675"/>
      <c r="Y38" s="1675"/>
      <c r="Z38" s="1675"/>
      <c r="AA38" s="1675"/>
    </row>
    <row r="39" spans="1:27" ht="13.5" customHeight="1" x14ac:dyDescent="0.3">
      <c r="A39" s="1690"/>
      <c r="B39" s="1713" t="s">
        <v>219</v>
      </c>
      <c r="C39" s="1696" t="s">
        <v>1972</v>
      </c>
      <c r="D39" s="1693"/>
      <c r="E39" s="1693">
        <v>10</v>
      </c>
      <c r="F39" s="1693"/>
      <c r="G39" s="1674"/>
      <c r="H39" s="1674"/>
      <c r="I39" s="1675"/>
      <c r="J39" s="1675"/>
      <c r="K39" s="1675"/>
      <c r="L39" s="1675"/>
      <c r="M39" s="1676"/>
      <c r="N39" s="1676"/>
      <c r="O39" s="1676"/>
      <c r="P39" s="1675"/>
      <c r="Q39" s="1675"/>
      <c r="R39" s="1675"/>
      <c r="S39" s="1675"/>
      <c r="T39" s="1675"/>
      <c r="U39" s="1675"/>
      <c r="V39" s="1675"/>
      <c r="W39" s="1675"/>
      <c r="X39" s="1675"/>
      <c r="Y39" s="1675"/>
      <c r="Z39" s="1675"/>
      <c r="AA39" s="1675"/>
    </row>
    <row r="40" spans="1:27" ht="13.5" customHeight="1" x14ac:dyDescent="0.3">
      <c r="A40" s="1690"/>
      <c r="B40" s="1694" t="s">
        <v>1973</v>
      </c>
      <c r="C40" s="1696" t="s">
        <v>1974</v>
      </c>
      <c r="D40" s="1693"/>
      <c r="E40" s="1693">
        <v>650</v>
      </c>
      <c r="F40" s="1693"/>
      <c r="G40" s="1674"/>
      <c r="H40" s="1674"/>
      <c r="I40" s="1675"/>
      <c r="J40" s="1675"/>
      <c r="K40" s="1675"/>
      <c r="L40" s="1675"/>
      <c r="M40" s="1676"/>
      <c r="N40" s="1676"/>
      <c r="O40" s="1676"/>
      <c r="P40" s="1675"/>
      <c r="Q40" s="1675"/>
      <c r="R40" s="1675"/>
      <c r="S40" s="1675"/>
      <c r="T40" s="1675"/>
      <c r="U40" s="1675"/>
      <c r="V40" s="1675"/>
      <c r="W40" s="1675"/>
      <c r="X40" s="1675"/>
      <c r="Y40" s="1675"/>
      <c r="Z40" s="1675"/>
      <c r="AA40" s="1675"/>
    </row>
    <row r="41" spans="1:27" ht="13.5" customHeight="1" x14ac:dyDescent="0.3">
      <c r="A41" s="1690"/>
      <c r="B41" s="1714" t="s">
        <v>1975</v>
      </c>
      <c r="C41" s="1696" t="s">
        <v>1974</v>
      </c>
      <c r="D41" s="1693"/>
      <c r="E41" s="1693">
        <f>300*1.15</f>
        <v>345</v>
      </c>
      <c r="F41" s="1693"/>
      <c r="G41" s="1674"/>
      <c r="H41" s="1674"/>
      <c r="I41" s="1675"/>
      <c r="J41" s="1675"/>
      <c r="K41" s="1675"/>
      <c r="L41" s="1675" t="s">
        <v>1976</v>
      </c>
      <c r="M41" s="1676">
        <f>2350*1.15</f>
        <v>2702.5</v>
      </c>
      <c r="N41" s="1676"/>
      <c r="O41" s="1676"/>
      <c r="P41" s="1675"/>
      <c r="Q41" s="1675"/>
      <c r="R41" s="1675"/>
      <c r="S41" s="1675"/>
      <c r="T41" s="1675"/>
      <c r="U41" s="1675"/>
      <c r="V41" s="1675"/>
      <c r="W41" s="1675"/>
      <c r="X41" s="1675"/>
      <c r="Y41" s="1675"/>
      <c r="Z41" s="1675"/>
      <c r="AA41" s="1675"/>
    </row>
    <row r="42" spans="1:27" ht="13.5" customHeight="1" x14ac:dyDescent="0.3">
      <c r="A42" s="1690"/>
      <c r="B42" s="1704"/>
      <c r="C42" s="1692"/>
      <c r="D42" s="1693"/>
      <c r="E42" s="1693"/>
      <c r="F42" s="1693"/>
      <c r="G42" s="1674"/>
      <c r="H42" s="1674"/>
      <c r="I42" s="1675"/>
      <c r="J42" s="1675"/>
      <c r="K42" s="1675"/>
      <c r="L42" s="1675"/>
      <c r="M42" s="1676">
        <f>M41/10</f>
        <v>270.25</v>
      </c>
      <c r="N42" s="1676"/>
      <c r="O42" s="1676"/>
      <c r="P42" s="1675"/>
      <c r="Q42" s="1675"/>
      <c r="R42" s="1675"/>
      <c r="S42" s="1675"/>
      <c r="T42" s="1675"/>
      <c r="U42" s="1675"/>
      <c r="V42" s="1675"/>
      <c r="W42" s="1675"/>
      <c r="X42" s="1675"/>
      <c r="Y42" s="1675"/>
      <c r="Z42" s="1675"/>
      <c r="AA42" s="1675"/>
    </row>
    <row r="43" spans="1:27" s="1709" customFormat="1" ht="13.5" customHeight="1" x14ac:dyDescent="0.3">
      <c r="A43" s="1694"/>
      <c r="B43" s="1715"/>
      <c r="C43" s="1692"/>
      <c r="D43" s="1693"/>
      <c r="F43" s="1697"/>
      <c r="G43" s="1716"/>
      <c r="H43" s="1716"/>
      <c r="I43" s="1717"/>
      <c r="J43" s="1717"/>
      <c r="K43" s="1717"/>
      <c r="L43" s="1717"/>
      <c r="M43" s="1718"/>
      <c r="N43" s="1718"/>
      <c r="O43" s="1718"/>
      <c r="P43" s="1717"/>
      <c r="Q43" s="1717"/>
      <c r="R43" s="1717"/>
      <c r="S43" s="1717"/>
      <c r="T43" s="1717"/>
      <c r="U43" s="1717"/>
      <c r="V43" s="1717"/>
      <c r="W43" s="1717"/>
      <c r="X43" s="1717"/>
      <c r="Y43" s="1717"/>
      <c r="Z43" s="1717"/>
      <c r="AA43" s="1717"/>
    </row>
    <row r="44" spans="1:27" s="1709" customFormat="1" ht="19.5" customHeight="1" x14ac:dyDescent="0.4">
      <c r="A44" s="1694"/>
      <c r="B44" s="1719" t="s">
        <v>1977</v>
      </c>
      <c r="C44" s="1692"/>
      <c r="D44" s="1693"/>
      <c r="F44" s="1697"/>
      <c r="G44" s="1716"/>
      <c r="H44" s="1716"/>
      <c r="I44" s="1717"/>
      <c r="J44" s="1717"/>
      <c r="K44" s="1717"/>
      <c r="L44" s="1717"/>
      <c r="M44" s="1718"/>
      <c r="N44" s="1718"/>
      <c r="O44" s="1718"/>
      <c r="P44" s="1717"/>
      <c r="Q44" s="1717"/>
      <c r="R44" s="1717"/>
      <c r="S44" s="1717"/>
      <c r="T44" s="1717"/>
      <c r="U44" s="1717"/>
      <c r="V44" s="1717"/>
      <c r="W44" s="1717"/>
      <c r="X44" s="1717"/>
      <c r="Y44" s="1717"/>
      <c r="Z44" s="1717"/>
      <c r="AA44" s="1717"/>
    </row>
    <row r="45" spans="1:27" s="1709" customFormat="1" ht="13.5" customHeight="1" x14ac:dyDescent="0.3">
      <c r="A45" s="1694"/>
      <c r="B45" s="1715"/>
      <c r="C45" s="1692"/>
      <c r="D45" s="1693"/>
      <c r="F45" s="1697"/>
      <c r="G45" s="1716"/>
      <c r="H45" s="1716"/>
      <c r="I45" s="1717"/>
      <c r="J45" s="1717"/>
      <c r="K45" s="1717"/>
      <c r="L45" s="1717"/>
      <c r="M45" s="1718"/>
      <c r="N45" s="1718"/>
      <c r="O45" s="1718"/>
      <c r="P45" s="1717"/>
      <c r="Q45" s="1717"/>
      <c r="R45" s="1717"/>
      <c r="S45" s="1717"/>
      <c r="T45" s="1717"/>
      <c r="U45" s="1717"/>
      <c r="V45" s="1717"/>
      <c r="W45" s="1717"/>
      <c r="X45" s="1717"/>
      <c r="Y45" s="1717"/>
      <c r="Z45" s="1717"/>
      <c r="AA45" s="1717"/>
    </row>
    <row r="46" spans="1:27" s="1709" customFormat="1" ht="13.5" customHeight="1" x14ac:dyDescent="0.3">
      <c r="A46" s="1694"/>
      <c r="B46" s="1715" t="s">
        <v>1978</v>
      </c>
      <c r="C46" s="1692"/>
      <c r="D46" s="1693"/>
      <c r="F46" s="1697"/>
      <c r="G46" s="1716"/>
      <c r="H46" s="1716"/>
      <c r="I46" s="1717"/>
      <c r="J46" s="1717"/>
      <c r="K46" s="1717"/>
      <c r="L46" s="1717"/>
      <c r="M46" s="1718"/>
      <c r="N46" s="1718"/>
      <c r="O46" s="1718"/>
      <c r="P46" s="1717"/>
      <c r="Q46" s="1717"/>
      <c r="R46" s="1717"/>
      <c r="S46" s="1717"/>
      <c r="T46" s="1717"/>
      <c r="U46" s="1717"/>
      <c r="V46" s="1717"/>
      <c r="W46" s="1717"/>
      <c r="X46" s="1717"/>
      <c r="Y46" s="1717"/>
      <c r="Z46" s="1717"/>
      <c r="AA46" s="1717"/>
    </row>
    <row r="47" spans="1:27" s="1709" customFormat="1" ht="13.5" customHeight="1" x14ac:dyDescent="0.3">
      <c r="A47" s="1694"/>
      <c r="B47" s="1715" t="s">
        <v>1979</v>
      </c>
      <c r="C47" s="1692"/>
      <c r="D47" s="1693"/>
      <c r="F47" s="1697"/>
      <c r="G47" s="1716"/>
      <c r="H47" s="1716"/>
      <c r="I47" s="1717"/>
      <c r="J47" s="1717"/>
      <c r="K47" s="1717"/>
      <c r="L47" s="1717"/>
      <c r="M47" s="1718"/>
      <c r="N47" s="1718"/>
      <c r="O47" s="1718"/>
      <c r="P47" s="1717"/>
      <c r="Q47" s="1717"/>
      <c r="R47" s="1717"/>
      <c r="S47" s="1717"/>
      <c r="T47" s="1717"/>
      <c r="U47" s="1717"/>
      <c r="V47" s="1717"/>
      <c r="W47" s="1717"/>
      <c r="X47" s="1717"/>
      <c r="Y47" s="1717"/>
      <c r="Z47" s="1717"/>
      <c r="AA47" s="1717"/>
    </row>
    <row r="48" spans="1:27" s="1709" customFormat="1" ht="13.5" customHeight="1" x14ac:dyDescent="0.3">
      <c r="A48" s="1694"/>
      <c r="B48" s="1715"/>
      <c r="C48" s="1692"/>
      <c r="D48" s="1693"/>
      <c r="F48" s="1697"/>
      <c r="G48" s="1716"/>
      <c r="H48" s="1716"/>
      <c r="I48" s="1717"/>
      <c r="J48" s="1717"/>
      <c r="K48" s="1717"/>
      <c r="L48" s="1717"/>
      <c r="M48" s="1718"/>
      <c r="N48" s="1718"/>
      <c r="O48" s="1718"/>
      <c r="P48" s="1717"/>
      <c r="Q48" s="1717"/>
      <c r="R48" s="1717"/>
      <c r="S48" s="1717"/>
      <c r="T48" s="1717"/>
      <c r="U48" s="1717"/>
      <c r="V48" s="1717"/>
      <c r="W48" s="1717"/>
      <c r="X48" s="1717"/>
      <c r="Y48" s="1717"/>
      <c r="Z48" s="1717"/>
      <c r="AA48" s="1717"/>
    </row>
    <row r="49" spans="1:27" s="1709" customFormat="1" ht="13.5" customHeight="1" x14ac:dyDescent="0.3">
      <c r="A49" s="1694"/>
      <c r="B49" s="1715"/>
      <c r="C49" s="1692"/>
      <c r="D49" s="1693"/>
      <c r="F49" s="1697"/>
      <c r="G49" s="1716"/>
      <c r="H49" s="1716"/>
      <c r="I49" s="1717"/>
      <c r="J49" s="1717"/>
      <c r="K49" s="1717"/>
      <c r="L49" s="1717"/>
      <c r="M49" s="1718"/>
      <c r="N49" s="1718"/>
      <c r="O49" s="1718"/>
      <c r="P49" s="1717"/>
      <c r="Q49" s="1717"/>
      <c r="R49" s="1717"/>
      <c r="S49" s="1717"/>
      <c r="T49" s="1717"/>
      <c r="U49" s="1717"/>
      <c r="V49" s="1717"/>
      <c r="W49" s="1717"/>
      <c r="X49" s="1717"/>
      <c r="Y49" s="1717"/>
      <c r="Z49" s="1717"/>
      <c r="AA49" s="1717"/>
    </row>
    <row r="50" spans="1:27" s="1709" customFormat="1" ht="21.75" customHeight="1" x14ac:dyDescent="0.4">
      <c r="A50" s="1694"/>
      <c r="B50" s="1719" t="s">
        <v>1980</v>
      </c>
      <c r="C50" s="1692"/>
      <c r="D50" s="1693"/>
      <c r="F50" s="1697"/>
      <c r="G50" s="1716"/>
      <c r="H50" s="1716"/>
      <c r="I50" s="1717"/>
      <c r="J50" s="1717"/>
      <c r="K50" s="1717"/>
      <c r="L50" s="1717"/>
      <c r="M50" s="1718"/>
      <c r="N50" s="1718"/>
      <c r="O50" s="1718"/>
      <c r="P50" s="1717"/>
      <c r="Q50" s="1717"/>
      <c r="R50" s="1717"/>
      <c r="S50" s="1717"/>
      <c r="T50" s="1717"/>
      <c r="U50" s="1717"/>
      <c r="V50" s="1717"/>
      <c r="W50" s="1717"/>
      <c r="X50" s="1717"/>
      <c r="Y50" s="1717"/>
      <c r="Z50" s="1717"/>
      <c r="AA50" s="1717"/>
    </row>
    <row r="51" spans="1:27" s="1709" customFormat="1" ht="13.5" customHeight="1" x14ac:dyDescent="0.3">
      <c r="A51" s="1694"/>
      <c r="B51" s="1715" t="s">
        <v>1981</v>
      </c>
      <c r="C51" s="1692" t="s">
        <v>981</v>
      </c>
      <c r="D51" s="1693"/>
      <c r="F51" s="1697"/>
      <c r="G51" s="1716"/>
      <c r="H51" s="1716"/>
      <c r="I51" s="1717"/>
      <c r="J51" s="1717"/>
      <c r="K51" s="1717"/>
      <c r="L51" s="1717"/>
      <c r="M51" s="1718"/>
      <c r="N51" s="1718"/>
      <c r="O51" s="1718"/>
      <c r="P51" s="1717"/>
      <c r="Q51" s="1717"/>
      <c r="R51" s="1717"/>
      <c r="S51" s="1717"/>
      <c r="T51" s="1717"/>
      <c r="U51" s="1717"/>
      <c r="V51" s="1717"/>
      <c r="W51" s="1717"/>
      <c r="X51" s="1717"/>
      <c r="Y51" s="1717"/>
      <c r="Z51" s="1717"/>
      <c r="AA51" s="1717"/>
    </row>
    <row r="52" spans="1:27" s="1709" customFormat="1" ht="13.5" customHeight="1" x14ac:dyDescent="0.3">
      <c r="A52" s="1694"/>
      <c r="B52" s="1715" t="s">
        <v>1982</v>
      </c>
      <c r="C52" s="1692" t="s">
        <v>981</v>
      </c>
      <c r="D52" s="1693"/>
      <c r="F52" s="1697"/>
      <c r="G52" s="1716"/>
      <c r="H52" s="1716"/>
      <c r="I52" s="1717"/>
      <c r="J52" s="1717"/>
      <c r="K52" s="1717"/>
      <c r="L52" s="1717"/>
      <c r="M52" s="1718"/>
      <c r="N52" s="1718"/>
      <c r="O52" s="1718"/>
      <c r="P52" s="1717"/>
      <c r="Q52" s="1717"/>
      <c r="R52" s="1717"/>
      <c r="S52" s="1717"/>
      <c r="T52" s="1717"/>
      <c r="U52" s="1717"/>
      <c r="V52" s="1717"/>
      <c r="W52" s="1717"/>
      <c r="X52" s="1717"/>
      <c r="Y52" s="1717"/>
      <c r="Z52" s="1717"/>
      <c r="AA52" s="1717"/>
    </row>
    <row r="53" spans="1:27" s="1709" customFormat="1" ht="13.5" customHeight="1" x14ac:dyDescent="0.3">
      <c r="A53" s="1694"/>
      <c r="B53" s="1715" t="s">
        <v>1983</v>
      </c>
      <c r="C53" s="1692" t="s">
        <v>981</v>
      </c>
      <c r="D53" s="1693"/>
      <c r="F53" s="1697"/>
      <c r="G53" s="1716"/>
      <c r="H53" s="1716"/>
      <c r="I53" s="1717"/>
      <c r="J53" s="1717"/>
      <c r="K53" s="1717"/>
      <c r="L53" s="1717"/>
      <c r="M53" s="1718"/>
      <c r="N53" s="1718"/>
      <c r="O53" s="1718"/>
      <c r="P53" s="1717"/>
      <c r="Q53" s="1717"/>
      <c r="R53" s="1717"/>
      <c r="S53" s="1717"/>
      <c r="T53" s="1717"/>
      <c r="U53" s="1717"/>
      <c r="V53" s="1717"/>
      <c r="W53" s="1717"/>
      <c r="X53" s="1717"/>
      <c r="Y53" s="1717"/>
      <c r="Z53" s="1717"/>
      <c r="AA53" s="1717"/>
    </row>
    <row r="54" spans="1:27" s="1709" customFormat="1" ht="13.5" customHeight="1" x14ac:dyDescent="0.3">
      <c r="A54" s="1694"/>
      <c r="B54" s="1715"/>
      <c r="C54" s="1692"/>
      <c r="D54" s="1693"/>
      <c r="F54" s="1697"/>
      <c r="G54" s="1716"/>
      <c r="H54" s="1716"/>
      <c r="I54" s="1717"/>
      <c r="J54" s="1717"/>
      <c r="K54" s="1717"/>
      <c r="L54" s="1717"/>
      <c r="M54" s="1718"/>
      <c r="N54" s="1718"/>
      <c r="O54" s="1718"/>
      <c r="P54" s="1717"/>
      <c r="Q54" s="1717"/>
      <c r="R54" s="1717"/>
      <c r="S54" s="1717"/>
      <c r="T54" s="1717"/>
      <c r="U54" s="1717"/>
      <c r="V54" s="1717"/>
      <c r="W54" s="1717"/>
      <c r="X54" s="1717"/>
      <c r="Y54" s="1717"/>
      <c r="Z54" s="1717"/>
      <c r="AA54" s="1717"/>
    </row>
    <row r="55" spans="1:27" s="1709" customFormat="1" ht="13.5" customHeight="1" x14ac:dyDescent="0.3">
      <c r="A55" s="1694"/>
      <c r="B55" s="1715" t="s">
        <v>1984</v>
      </c>
      <c r="C55" s="1692" t="s">
        <v>981</v>
      </c>
      <c r="D55" s="1693"/>
      <c r="F55" s="1697"/>
      <c r="G55" s="1716"/>
      <c r="H55" s="1716"/>
      <c r="I55" s="1717"/>
      <c r="J55" s="1717"/>
      <c r="K55" s="1717"/>
      <c r="L55" s="1717"/>
      <c r="M55" s="1718"/>
      <c r="N55" s="1718"/>
      <c r="O55" s="1718"/>
      <c r="P55" s="1717"/>
      <c r="Q55" s="1717"/>
      <c r="R55" s="1717"/>
      <c r="S55" s="1717"/>
      <c r="T55" s="1717"/>
      <c r="U55" s="1717"/>
      <c r="V55" s="1717"/>
      <c r="W55" s="1717"/>
      <c r="X55" s="1717"/>
      <c r="Y55" s="1717"/>
      <c r="Z55" s="1717"/>
      <c r="AA55" s="1717"/>
    </row>
    <row r="56" spans="1:27" s="1709" customFormat="1" ht="13.5" customHeight="1" x14ac:dyDescent="0.3">
      <c r="A56" s="1694"/>
      <c r="B56" s="1715" t="s">
        <v>1985</v>
      </c>
      <c r="C56" s="1692" t="s">
        <v>981</v>
      </c>
      <c r="D56" s="1693"/>
      <c r="F56" s="1697"/>
      <c r="G56" s="1716"/>
      <c r="H56" s="1716"/>
      <c r="I56" s="1717"/>
      <c r="J56" s="1717"/>
      <c r="K56" s="1717"/>
      <c r="L56" s="1717"/>
      <c r="M56" s="1718"/>
      <c r="N56" s="1718"/>
      <c r="O56" s="1718"/>
      <c r="P56" s="1717"/>
      <c r="Q56" s="1717"/>
      <c r="R56" s="1717"/>
      <c r="S56" s="1717"/>
      <c r="T56" s="1717"/>
      <c r="U56" s="1717"/>
      <c r="V56" s="1717"/>
      <c r="W56" s="1717"/>
      <c r="X56" s="1717"/>
      <c r="Y56" s="1717"/>
      <c r="Z56" s="1717"/>
      <c r="AA56" s="1717"/>
    </row>
    <row r="57" spans="1:27" s="1709" customFormat="1" ht="13.5" customHeight="1" x14ac:dyDescent="0.3">
      <c r="A57" s="1694"/>
      <c r="B57" s="1715" t="s">
        <v>1986</v>
      </c>
      <c r="C57" s="1692" t="s">
        <v>981</v>
      </c>
      <c r="D57" s="1693"/>
      <c r="F57" s="1697"/>
      <c r="G57" s="1716"/>
      <c r="H57" s="1716"/>
      <c r="I57" s="1717"/>
      <c r="J57" s="1717"/>
      <c r="K57" s="1717"/>
      <c r="L57" s="1717"/>
      <c r="M57" s="1718"/>
      <c r="N57" s="1718"/>
      <c r="O57" s="1718"/>
      <c r="P57" s="1717"/>
      <c r="Q57" s="1717"/>
      <c r="R57" s="1717"/>
      <c r="S57" s="1717"/>
      <c r="T57" s="1717"/>
      <c r="U57" s="1717"/>
      <c r="V57" s="1717"/>
      <c r="W57" s="1717"/>
      <c r="X57" s="1717"/>
      <c r="Y57" s="1717"/>
      <c r="Z57" s="1717"/>
      <c r="AA57" s="1717"/>
    </row>
    <row r="58" spans="1:27" s="1709" customFormat="1" ht="13.5" customHeight="1" x14ac:dyDescent="0.3">
      <c r="A58" s="1694"/>
      <c r="B58" s="1715"/>
      <c r="C58" s="1692"/>
      <c r="D58" s="1693"/>
      <c r="F58" s="1697"/>
      <c r="G58" s="1716"/>
      <c r="H58" s="1716"/>
      <c r="I58" s="1717"/>
      <c r="J58" s="1717"/>
      <c r="K58" s="1717"/>
      <c r="L58" s="1717"/>
      <c r="M58" s="1718"/>
      <c r="N58" s="1718"/>
      <c r="O58" s="1718"/>
      <c r="P58" s="1717"/>
      <c r="Q58" s="1717"/>
      <c r="R58" s="1717"/>
      <c r="S58" s="1717"/>
      <c r="T58" s="1717"/>
      <c r="U58" s="1717"/>
      <c r="V58" s="1717"/>
      <c r="W58" s="1717"/>
      <c r="X58" s="1717"/>
      <c r="Y58" s="1717"/>
      <c r="Z58" s="1717"/>
      <c r="AA58" s="1717"/>
    </row>
    <row r="59" spans="1:27" s="1709" customFormat="1" ht="13.5" customHeight="1" x14ac:dyDescent="0.3">
      <c r="A59" s="1694"/>
      <c r="B59" s="1715" t="s">
        <v>1987</v>
      </c>
      <c r="C59" s="1692"/>
      <c r="D59" s="1693"/>
      <c r="F59" s="1697"/>
      <c r="G59" s="1716"/>
      <c r="H59" s="1716"/>
      <c r="I59" s="1717"/>
      <c r="J59" s="1717"/>
      <c r="K59" s="1717"/>
      <c r="L59" s="1717"/>
      <c r="M59" s="1718"/>
      <c r="N59" s="1718"/>
      <c r="O59" s="1718"/>
      <c r="P59" s="1717"/>
      <c r="Q59" s="1717"/>
      <c r="R59" s="1717"/>
      <c r="S59" s="1717"/>
      <c r="T59" s="1717"/>
      <c r="U59" s="1717"/>
      <c r="V59" s="1717"/>
      <c r="W59" s="1717"/>
      <c r="X59" s="1717"/>
      <c r="Y59" s="1717"/>
      <c r="Z59" s="1717"/>
      <c r="AA59" s="1717"/>
    </row>
    <row r="60" spans="1:27" s="1709" customFormat="1" ht="13.5" customHeight="1" x14ac:dyDescent="0.3">
      <c r="A60" s="1694"/>
      <c r="B60" s="1715" t="s">
        <v>1988</v>
      </c>
      <c r="C60" s="1692"/>
      <c r="D60" s="1693"/>
      <c r="F60" s="1697"/>
      <c r="G60" s="1716"/>
      <c r="H60" s="1716"/>
      <c r="I60" s="1717"/>
      <c r="J60" s="1717"/>
      <c r="K60" s="1717"/>
      <c r="L60" s="1717"/>
      <c r="M60" s="1718"/>
      <c r="N60" s="1718"/>
      <c r="O60" s="1718"/>
      <c r="P60" s="1717"/>
      <c r="Q60" s="1717"/>
      <c r="R60" s="1717"/>
      <c r="S60" s="1717"/>
      <c r="T60" s="1717"/>
      <c r="U60" s="1717"/>
      <c r="V60" s="1717"/>
      <c r="W60" s="1717"/>
      <c r="X60" s="1717"/>
      <c r="Y60" s="1717"/>
      <c r="Z60" s="1717"/>
      <c r="AA60" s="1717"/>
    </row>
    <row r="61" spans="1:27" s="1709" customFormat="1" ht="13.5" customHeight="1" x14ac:dyDescent="0.3">
      <c r="A61" s="1694"/>
      <c r="B61" s="1720" t="s">
        <v>1989</v>
      </c>
      <c r="C61" s="1696" t="s">
        <v>1064</v>
      </c>
      <c r="D61" s="1697"/>
      <c r="E61" s="1721">
        <v>230</v>
      </c>
      <c r="F61" s="1697"/>
      <c r="G61" s="1716"/>
      <c r="H61" s="1716"/>
      <c r="I61" s="1717"/>
      <c r="J61" s="1717"/>
      <c r="K61" s="1717"/>
      <c r="L61" s="1717">
        <f>12*7</f>
        <v>84</v>
      </c>
      <c r="M61" s="1718"/>
      <c r="N61" s="1718"/>
      <c r="O61" s="1718"/>
      <c r="P61" s="1717"/>
      <c r="Q61" s="1717"/>
      <c r="R61" s="1717"/>
      <c r="S61" s="1717"/>
      <c r="T61" s="1717"/>
      <c r="U61" s="1717"/>
      <c r="V61" s="1717"/>
      <c r="W61" s="1717"/>
      <c r="X61" s="1717"/>
      <c r="Y61" s="1717"/>
      <c r="Z61" s="1717"/>
      <c r="AA61" s="1717"/>
    </row>
    <row r="62" spans="1:27" s="1709" customFormat="1" ht="13.5" customHeight="1" x14ac:dyDescent="0.3">
      <c r="A62" s="1694"/>
      <c r="B62" s="1720" t="s">
        <v>1990</v>
      </c>
      <c r="C62" s="1696" t="s">
        <v>1991</v>
      </c>
      <c r="D62" s="1697"/>
      <c r="E62" s="1721"/>
      <c r="F62" s="1697"/>
      <c r="G62" s="1716"/>
      <c r="H62" s="1716"/>
      <c r="I62" s="1717"/>
      <c r="J62" s="1717"/>
      <c r="K62" s="1717"/>
      <c r="L62" s="1717"/>
      <c r="M62" s="1718"/>
      <c r="N62" s="1718"/>
      <c r="O62" s="1718"/>
      <c r="P62" s="1717"/>
      <c r="Q62" s="1717"/>
      <c r="R62" s="1717"/>
      <c r="S62" s="1717"/>
      <c r="T62" s="1717"/>
      <c r="U62" s="1717"/>
      <c r="V62" s="1717"/>
      <c r="W62" s="1717"/>
      <c r="X62" s="1717"/>
      <c r="Y62" s="1717"/>
      <c r="Z62" s="1717"/>
      <c r="AA62" s="1717"/>
    </row>
    <row r="63" spans="1:27" s="1701" customFormat="1" ht="13.5" customHeight="1" x14ac:dyDescent="0.3">
      <c r="A63" s="1694"/>
      <c r="B63" s="1710" t="s">
        <v>1992</v>
      </c>
      <c r="C63" s="1696" t="s">
        <v>134</v>
      </c>
      <c r="D63" s="1697"/>
      <c r="E63" s="1697">
        <v>650</v>
      </c>
      <c r="F63" s="1697"/>
      <c r="G63" s="1698"/>
      <c r="H63" s="1698"/>
      <c r="I63" s="1699"/>
      <c r="J63" s="1699"/>
      <c r="K63" s="1699"/>
      <c r="L63" s="1699"/>
      <c r="M63" s="1700"/>
      <c r="N63" s="1700"/>
      <c r="O63" s="1700"/>
      <c r="P63" s="1699"/>
      <c r="Q63" s="1699"/>
      <c r="R63" s="1699"/>
      <c r="S63" s="1699"/>
      <c r="T63" s="1699"/>
      <c r="U63" s="1699"/>
      <c r="V63" s="1699"/>
      <c r="W63" s="1699"/>
      <c r="X63" s="1699"/>
      <c r="Y63" s="1699"/>
      <c r="Z63" s="1699"/>
      <c r="AA63" s="1699"/>
    </row>
    <row r="64" spans="1:27" s="1701" customFormat="1" ht="13.5" customHeight="1" x14ac:dyDescent="0.3">
      <c r="A64" s="1694"/>
      <c r="B64" s="1710"/>
      <c r="C64" s="1696"/>
      <c r="D64" s="1697"/>
      <c r="E64" s="1697"/>
      <c r="F64" s="1697"/>
      <c r="G64" s="1698"/>
      <c r="H64" s="1698"/>
      <c r="I64" s="1699"/>
      <c r="J64" s="1699"/>
      <c r="K64" s="1699"/>
      <c r="L64" s="1699"/>
      <c r="M64" s="1700"/>
      <c r="N64" s="1700"/>
      <c r="O64" s="1700"/>
      <c r="P64" s="1699"/>
      <c r="Q64" s="1699"/>
      <c r="R64" s="1699"/>
      <c r="S64" s="1699"/>
      <c r="T64" s="1699"/>
      <c r="U64" s="1699"/>
      <c r="V64" s="1699"/>
      <c r="W64" s="1699"/>
      <c r="X64" s="1699"/>
      <c r="Y64" s="1699"/>
      <c r="Z64" s="1699"/>
      <c r="AA64" s="1699"/>
    </row>
    <row r="65" spans="1:27" s="1709" customFormat="1" ht="13.5" customHeight="1" x14ac:dyDescent="0.3">
      <c r="A65" s="1694"/>
      <c r="B65" s="1722" t="s">
        <v>1993</v>
      </c>
      <c r="C65" s="1723"/>
      <c r="D65" s="1724"/>
      <c r="E65" s="1724"/>
      <c r="F65" s="1697"/>
      <c r="G65" s="1716"/>
      <c r="H65" s="1716"/>
      <c r="I65" s="1717"/>
      <c r="J65" s="1717"/>
      <c r="K65" s="1717"/>
      <c r="L65" s="1717"/>
      <c r="M65" s="1718"/>
      <c r="N65" s="1718"/>
      <c r="O65" s="1718"/>
      <c r="P65" s="1717"/>
      <c r="Q65" s="1717"/>
      <c r="R65" s="1717"/>
      <c r="S65" s="1717"/>
      <c r="T65" s="1717"/>
      <c r="U65" s="1717"/>
      <c r="V65" s="1717"/>
      <c r="W65" s="1717"/>
      <c r="X65" s="1717"/>
      <c r="Y65" s="1717"/>
      <c r="Z65" s="1717"/>
      <c r="AA65" s="1717"/>
    </row>
    <row r="66" spans="1:27" s="1709" customFormat="1" ht="13.5" customHeight="1" x14ac:dyDescent="0.3">
      <c r="A66" s="1694"/>
      <c r="B66" s="1725" t="s">
        <v>1994</v>
      </c>
      <c r="C66" s="1723" t="s">
        <v>1995</v>
      </c>
      <c r="D66" s="1724">
        <v>6500</v>
      </c>
      <c r="E66" s="1724">
        <v>7500</v>
      </c>
      <c r="F66" s="1697"/>
      <c r="G66" s="1716"/>
      <c r="H66" s="1716"/>
      <c r="I66" s="1717"/>
      <c r="J66" s="1717"/>
      <c r="K66" s="1717" t="s">
        <v>1996</v>
      </c>
      <c r="L66" s="1717"/>
      <c r="M66" s="1718"/>
      <c r="N66" s="1718"/>
      <c r="O66" s="1718"/>
      <c r="P66" s="1717"/>
      <c r="Q66" s="1717"/>
      <c r="R66" s="1717"/>
      <c r="S66" s="1717"/>
      <c r="T66" s="1717"/>
      <c r="U66" s="1717"/>
      <c r="V66" s="1717"/>
      <c r="W66" s="1717"/>
      <c r="X66" s="1717"/>
      <c r="Y66" s="1717"/>
      <c r="Z66" s="1717"/>
      <c r="AA66" s="1717"/>
    </row>
    <row r="67" spans="1:27" s="1709" customFormat="1" ht="13.5" customHeight="1" x14ac:dyDescent="0.3">
      <c r="A67" s="1694"/>
      <c r="B67" s="1725" t="s">
        <v>1997</v>
      </c>
      <c r="C67" s="1723" t="s">
        <v>1995</v>
      </c>
      <c r="D67" s="1724">
        <v>10500</v>
      </c>
      <c r="E67" s="1724">
        <v>11500</v>
      </c>
      <c r="F67" s="1697"/>
      <c r="G67" s="1716"/>
      <c r="H67" s="1716"/>
      <c r="I67" s="1717"/>
      <c r="J67" s="1717"/>
      <c r="K67" s="1717"/>
      <c r="L67" s="1717"/>
      <c r="M67" s="1718"/>
      <c r="N67" s="1718"/>
      <c r="O67" s="1718"/>
      <c r="P67" s="1717"/>
      <c r="Q67" s="1717"/>
      <c r="R67" s="1717"/>
      <c r="S67" s="1717"/>
      <c r="T67" s="1717"/>
      <c r="U67" s="1717"/>
      <c r="V67" s="1717"/>
      <c r="W67" s="1717"/>
      <c r="X67" s="1717"/>
      <c r="Y67" s="1717"/>
      <c r="Z67" s="1717"/>
      <c r="AA67" s="1717"/>
    </row>
    <row r="68" spans="1:27" s="1709" customFormat="1" ht="13.5" customHeight="1" x14ac:dyDescent="0.3">
      <c r="A68" s="1694"/>
      <c r="B68" s="1725" t="s">
        <v>1998</v>
      </c>
      <c r="C68" s="1723" t="s">
        <v>1995</v>
      </c>
      <c r="D68" s="1724">
        <v>8500</v>
      </c>
      <c r="E68" s="1724">
        <v>9500</v>
      </c>
      <c r="F68" s="1697"/>
      <c r="G68" s="1716"/>
      <c r="H68" s="1716"/>
      <c r="I68" s="1717"/>
      <c r="J68" s="1717"/>
      <c r="K68" s="1717"/>
      <c r="L68" s="1717"/>
      <c r="M68" s="1718"/>
      <c r="N68" s="1718"/>
      <c r="O68" s="1718"/>
      <c r="P68" s="1717"/>
      <c r="Q68" s="1717"/>
      <c r="R68" s="1717"/>
      <c r="S68" s="1717"/>
      <c r="T68" s="1717"/>
      <c r="U68" s="1717"/>
      <c r="V68" s="1717"/>
      <c r="W68" s="1717"/>
      <c r="X68" s="1717"/>
      <c r="Y68" s="1717"/>
      <c r="Z68" s="1717"/>
      <c r="AA68" s="1717"/>
    </row>
    <row r="69" spans="1:27" ht="13.5" customHeight="1" x14ac:dyDescent="0.3">
      <c r="A69" s="1690"/>
      <c r="B69" s="1726"/>
      <c r="C69" s="1692"/>
      <c r="D69" s="1693"/>
      <c r="E69" s="1693"/>
      <c r="F69" s="1693"/>
      <c r="G69" s="1674"/>
      <c r="H69" s="1674"/>
      <c r="I69" s="1675"/>
      <c r="J69" s="1675"/>
      <c r="K69" s="1675"/>
      <c r="L69" s="1727"/>
      <c r="M69" s="1728" t="s">
        <v>1999</v>
      </c>
      <c r="N69" s="1728" t="s">
        <v>2000</v>
      </c>
      <c r="O69" s="1728" t="s">
        <v>2001</v>
      </c>
      <c r="P69" s="1727"/>
      <c r="Q69" s="1675"/>
      <c r="R69" s="1675"/>
      <c r="S69" s="1675"/>
      <c r="T69" s="1675"/>
      <c r="U69" s="1675"/>
      <c r="V69" s="1675"/>
      <c r="W69" s="1675"/>
      <c r="X69" s="1675"/>
      <c r="Y69" s="1675"/>
      <c r="Z69" s="1675"/>
      <c r="AA69" s="1675"/>
    </row>
    <row r="70" spans="1:27" ht="13.5" customHeight="1" x14ac:dyDescent="0.3">
      <c r="A70" s="1690"/>
      <c r="B70" s="1726" t="s">
        <v>2002</v>
      </c>
      <c r="C70" s="1692"/>
      <c r="D70" s="1693"/>
      <c r="E70" s="1693"/>
      <c r="F70" s="1693"/>
      <c r="G70" s="1674"/>
      <c r="H70" s="1674"/>
      <c r="I70" s="1675"/>
      <c r="J70" s="1675"/>
      <c r="K70" s="1675"/>
      <c r="L70" s="1729" t="s">
        <v>2003</v>
      </c>
      <c r="M70" s="1730"/>
      <c r="N70" s="1731"/>
      <c r="O70" s="1730"/>
      <c r="P70" s="1727"/>
      <c r="Q70" s="1675"/>
      <c r="R70" s="1675"/>
      <c r="S70" s="1675"/>
      <c r="T70" s="1675"/>
      <c r="U70" s="1675"/>
      <c r="V70" s="1675"/>
      <c r="W70" s="1675"/>
      <c r="X70" s="1675"/>
      <c r="Y70" s="1675"/>
      <c r="Z70" s="1675"/>
      <c r="AA70" s="1675"/>
    </row>
    <row r="71" spans="1:27" ht="13.5" customHeight="1" x14ac:dyDescent="0.3">
      <c r="A71" s="1690"/>
      <c r="B71" s="1704"/>
      <c r="C71" s="1692"/>
      <c r="D71" s="1693"/>
      <c r="E71" s="1697"/>
      <c r="F71" s="1693"/>
      <c r="G71" s="1674"/>
      <c r="H71" s="1674"/>
      <c r="I71" s="1675"/>
      <c r="J71" s="1675"/>
      <c r="K71" s="1675"/>
      <c r="L71" s="1729" t="s">
        <v>2004</v>
      </c>
      <c r="M71" s="1730"/>
      <c r="N71" s="1731"/>
      <c r="O71" s="1730"/>
      <c r="P71" s="1727"/>
      <c r="Q71" s="1675"/>
      <c r="R71" s="1675"/>
      <c r="S71" s="1675"/>
      <c r="T71" s="1675"/>
      <c r="U71" s="1675"/>
      <c r="V71" s="1675"/>
      <c r="W71" s="1675"/>
      <c r="X71" s="1675"/>
      <c r="Y71" s="1675"/>
      <c r="Z71" s="1675"/>
      <c r="AA71" s="1675"/>
    </row>
    <row r="72" spans="1:27" ht="13.5" customHeight="1" x14ac:dyDescent="0.3">
      <c r="A72" s="1690"/>
      <c r="B72" s="1732" t="s">
        <v>2005</v>
      </c>
      <c r="C72" s="1733"/>
      <c r="D72" s="1734"/>
      <c r="E72" s="1734">
        <v>27000</v>
      </c>
      <c r="F72" s="1734" t="s">
        <v>1999</v>
      </c>
      <c r="G72" s="1674"/>
      <c r="H72" s="1674"/>
      <c r="I72" s="1675"/>
      <c r="J72" s="1675"/>
      <c r="K72" s="1675"/>
      <c r="L72" s="1729"/>
      <c r="M72" s="1730"/>
      <c r="N72" s="1731"/>
      <c r="O72" s="1730"/>
      <c r="P72" s="1727"/>
      <c r="Q72" s="1675"/>
      <c r="R72" s="1675"/>
      <c r="S72" s="1675"/>
      <c r="T72" s="1675"/>
      <c r="U72" s="1675"/>
      <c r="V72" s="1675"/>
      <c r="W72" s="1675"/>
      <c r="X72" s="1675"/>
      <c r="Y72" s="1675"/>
      <c r="Z72" s="1675"/>
      <c r="AA72" s="1675"/>
    </row>
    <row r="73" spans="1:27" ht="13.5" customHeight="1" x14ac:dyDescent="0.3">
      <c r="A73" s="1690"/>
      <c r="B73" s="1732" t="s">
        <v>2006</v>
      </c>
      <c r="C73" s="1733"/>
      <c r="D73" s="1734"/>
      <c r="E73" s="1734">
        <v>28000</v>
      </c>
      <c r="F73" s="1734" t="s">
        <v>1999</v>
      </c>
      <c r="G73" s="1674"/>
      <c r="H73" s="1674"/>
      <c r="I73" s="1675"/>
      <c r="J73" s="1675"/>
      <c r="K73" s="1675"/>
      <c r="L73" s="1729"/>
      <c r="M73" s="1730"/>
      <c r="N73" s="1731"/>
      <c r="O73" s="1730"/>
      <c r="P73" s="1727"/>
      <c r="Q73" s="1675"/>
      <c r="R73" s="1675"/>
      <c r="S73" s="1675"/>
      <c r="T73" s="1675"/>
      <c r="U73" s="1675"/>
      <c r="V73" s="1675"/>
      <c r="W73" s="1675"/>
      <c r="X73" s="1675"/>
      <c r="Y73" s="1675"/>
      <c r="Z73" s="1675"/>
      <c r="AA73" s="1675"/>
    </row>
    <row r="74" spans="1:27" ht="13.5" customHeight="1" x14ac:dyDescent="0.3">
      <c r="A74" s="1690"/>
      <c r="B74" s="1732" t="s">
        <v>2007</v>
      </c>
      <c r="C74" s="1733"/>
      <c r="D74" s="1734"/>
      <c r="E74" s="1734">
        <v>29000</v>
      </c>
      <c r="F74" s="1734" t="s">
        <v>1999</v>
      </c>
      <c r="G74" s="1674"/>
      <c r="H74" s="1674"/>
      <c r="I74" s="1675"/>
      <c r="J74" s="1675"/>
      <c r="K74" s="1675"/>
      <c r="L74" s="1729" t="s">
        <v>2008</v>
      </c>
      <c r="M74" s="1735"/>
      <c r="N74" s="1731"/>
      <c r="O74" s="1730"/>
      <c r="P74" s="1727"/>
      <c r="Q74" s="1675"/>
      <c r="R74" s="1675"/>
      <c r="S74" s="1675"/>
      <c r="T74" s="1675"/>
      <c r="U74" s="1675"/>
      <c r="V74" s="1675"/>
      <c r="W74" s="1675"/>
      <c r="X74" s="1675"/>
      <c r="Y74" s="1675"/>
      <c r="Z74" s="1675"/>
      <c r="AA74" s="1675"/>
    </row>
    <row r="75" spans="1:27" ht="16.8" x14ac:dyDescent="0.3">
      <c r="A75" s="1690"/>
      <c r="B75" s="1732" t="s">
        <v>2009</v>
      </c>
      <c r="C75" s="1733"/>
      <c r="D75" s="1734"/>
      <c r="E75" s="1734">
        <v>45000</v>
      </c>
      <c r="F75" s="1734" t="s">
        <v>1999</v>
      </c>
      <c r="G75" s="1674"/>
      <c r="H75" s="1674"/>
      <c r="I75" s="1675"/>
      <c r="J75" s="1675"/>
      <c r="K75" s="1675"/>
      <c r="L75" s="1729" t="s">
        <v>2010</v>
      </c>
      <c r="M75" s="1730"/>
      <c r="N75" s="1730"/>
      <c r="O75" s="1730"/>
      <c r="P75" s="1727"/>
      <c r="Q75" s="1675"/>
      <c r="R75" s="1675"/>
      <c r="S75" s="1675"/>
      <c r="T75" s="1675"/>
      <c r="U75" s="1675"/>
      <c r="V75" s="1675"/>
      <c r="W75" s="1675"/>
      <c r="X75" s="1675"/>
      <c r="Y75" s="1675"/>
      <c r="Z75" s="1675"/>
      <c r="AA75" s="1675"/>
    </row>
    <row r="76" spans="1:27" ht="13.2" customHeight="1" x14ac:dyDescent="0.3">
      <c r="A76" s="1690"/>
      <c r="B76" s="1704"/>
      <c r="C76" s="1692"/>
      <c r="D76" s="1693"/>
      <c r="E76" s="1697"/>
      <c r="F76" s="1693"/>
      <c r="G76" s="1674"/>
      <c r="H76" s="1674"/>
      <c r="I76" s="1675"/>
      <c r="J76" s="1675"/>
      <c r="K76" s="1675"/>
      <c r="L76" s="1675"/>
      <c r="M76" s="1676"/>
      <c r="N76" s="1676"/>
      <c r="O76" s="1676"/>
      <c r="P76" s="1675"/>
      <c r="Q76" s="1675"/>
      <c r="R76" s="1675"/>
      <c r="S76" s="1675"/>
      <c r="T76" s="1675"/>
      <c r="U76" s="1675"/>
      <c r="V76" s="1675"/>
      <c r="W76" s="1675"/>
      <c r="X76" s="1675"/>
      <c r="Y76" s="1675"/>
      <c r="Z76" s="1675"/>
      <c r="AA76" s="1675"/>
    </row>
    <row r="77" spans="1:27" ht="13.2" customHeight="1" x14ac:dyDescent="0.3">
      <c r="A77" s="1690"/>
      <c r="B77" s="1704"/>
      <c r="C77" s="1692"/>
      <c r="D77" s="1693"/>
      <c r="E77" s="1693">
        <v>45000</v>
      </c>
      <c r="F77" s="1693">
        <v>15000</v>
      </c>
      <c r="G77" s="1674"/>
      <c r="H77" s="1674"/>
      <c r="I77" s="1675"/>
      <c r="J77" s="1675"/>
      <c r="K77" s="1675"/>
      <c r="L77" s="1675"/>
      <c r="M77" s="1676"/>
      <c r="N77" s="1676"/>
      <c r="O77" s="1676"/>
      <c r="P77" s="1675"/>
      <c r="Q77" s="1675"/>
      <c r="R77" s="1675"/>
      <c r="S77" s="1675"/>
      <c r="T77" s="1675"/>
      <c r="U77" s="1675"/>
      <c r="V77" s="1675"/>
      <c r="W77" s="1675"/>
      <c r="X77" s="1675"/>
      <c r="Y77" s="1675"/>
      <c r="Z77" s="1675"/>
      <c r="AA77" s="1675"/>
    </row>
    <row r="78" spans="1:27" ht="13.2" customHeight="1" x14ac:dyDescent="0.3">
      <c r="A78" s="1690"/>
      <c r="B78" s="1736" t="s">
        <v>2011</v>
      </c>
      <c r="C78" s="1692"/>
      <c r="D78" s="1693"/>
      <c r="E78" s="1693"/>
      <c r="F78" s="1693"/>
      <c r="G78" s="1674"/>
      <c r="H78" s="1674"/>
      <c r="I78" s="1675"/>
      <c r="J78" s="1675"/>
      <c r="K78" s="1675"/>
      <c r="L78" s="1675"/>
      <c r="M78" s="1676"/>
      <c r="N78" s="1676"/>
      <c r="O78" s="1676"/>
      <c r="P78" s="1675"/>
      <c r="Q78" s="1675"/>
      <c r="R78" s="1675"/>
      <c r="S78" s="1675"/>
      <c r="T78" s="1675"/>
      <c r="U78" s="1675"/>
      <c r="V78" s="1675"/>
      <c r="W78" s="1675"/>
      <c r="X78" s="1675"/>
      <c r="Y78" s="1675"/>
      <c r="Z78" s="1675"/>
      <c r="AA78" s="1675"/>
    </row>
    <row r="79" spans="1:27" ht="13.2" customHeight="1" x14ac:dyDescent="0.3">
      <c r="A79" s="1690"/>
      <c r="B79" s="1694" t="s">
        <v>2012</v>
      </c>
      <c r="C79" s="1696" t="s">
        <v>2013</v>
      </c>
      <c r="D79" s="1693"/>
      <c r="E79" s="1697">
        <v>4500</v>
      </c>
      <c r="F79" s="1693"/>
      <c r="G79" s="1674"/>
      <c r="H79" s="1674"/>
      <c r="I79" s="1675"/>
      <c r="J79" s="1675"/>
      <c r="K79" s="1675"/>
      <c r="L79" s="1675"/>
      <c r="M79" s="1676"/>
      <c r="N79" s="1676"/>
      <c r="O79" s="1676"/>
      <c r="P79" s="1675"/>
      <c r="Q79" s="1675"/>
      <c r="R79" s="1675"/>
      <c r="S79" s="1675"/>
      <c r="T79" s="1675"/>
      <c r="U79" s="1675"/>
      <c r="V79" s="1675"/>
      <c r="W79" s="1675"/>
      <c r="X79" s="1675"/>
      <c r="Y79" s="1675"/>
      <c r="Z79" s="1675"/>
      <c r="AA79" s="1675"/>
    </row>
    <row r="80" spans="1:27" ht="13.2" customHeight="1" x14ac:dyDescent="0.3">
      <c r="A80" s="1690"/>
      <c r="B80" s="1694" t="s">
        <v>2014</v>
      </c>
      <c r="C80" s="1696" t="s">
        <v>2013</v>
      </c>
      <c r="D80" s="1693"/>
      <c r="E80" s="1697"/>
      <c r="F80" s="1693"/>
      <c r="G80" s="1674"/>
      <c r="H80" s="1674"/>
      <c r="I80" s="1675"/>
      <c r="J80" s="1675"/>
      <c r="K80" s="1675"/>
      <c r="L80" s="1675"/>
      <c r="M80" s="1676"/>
      <c r="N80" s="1676"/>
      <c r="O80" s="1676"/>
      <c r="P80" s="1675"/>
      <c r="Q80" s="1675"/>
      <c r="R80" s="1675"/>
      <c r="S80" s="1675"/>
      <c r="T80" s="1675"/>
      <c r="U80" s="1675"/>
      <c r="V80" s="1675"/>
      <c r="W80" s="1675"/>
      <c r="X80" s="1675"/>
      <c r="Y80" s="1675"/>
      <c r="Z80" s="1675"/>
      <c r="AA80" s="1675"/>
    </row>
    <row r="81" spans="1:27" ht="13.2" customHeight="1" x14ac:dyDescent="0.3">
      <c r="A81" s="1690"/>
      <c r="B81" s="1694" t="s">
        <v>2015</v>
      </c>
      <c r="C81" s="1696" t="s">
        <v>2013</v>
      </c>
      <c r="D81" s="1693"/>
      <c r="E81" s="1697">
        <v>5500</v>
      </c>
      <c r="F81" s="1693"/>
      <c r="G81" s="1674"/>
      <c r="H81" s="1674"/>
      <c r="I81" s="1675"/>
      <c r="J81" s="1675"/>
      <c r="K81" s="1675"/>
      <c r="L81" s="1675"/>
      <c r="M81" s="1676"/>
      <c r="N81" s="1676"/>
      <c r="O81" s="1676"/>
      <c r="P81" s="1675"/>
      <c r="Q81" s="1675"/>
      <c r="R81" s="1675"/>
      <c r="S81" s="1675"/>
      <c r="T81" s="1675"/>
      <c r="U81" s="1675"/>
      <c r="V81" s="1675"/>
      <c r="W81" s="1675"/>
      <c r="X81" s="1675"/>
      <c r="Y81" s="1675"/>
      <c r="Z81" s="1675"/>
      <c r="AA81" s="1675"/>
    </row>
    <row r="82" spans="1:27" ht="13.2" customHeight="1" x14ac:dyDescent="0.3">
      <c r="A82" s="1690"/>
      <c r="B82" s="1694"/>
      <c r="C82" s="1696"/>
      <c r="D82" s="1693"/>
      <c r="E82" s="1697"/>
      <c r="F82" s="1693"/>
      <c r="G82" s="1674"/>
      <c r="H82" s="1674"/>
      <c r="I82" s="1675"/>
      <c r="J82" s="1675"/>
      <c r="K82" s="1675"/>
      <c r="L82" s="1675"/>
      <c r="M82" s="1676"/>
      <c r="N82" s="1676"/>
      <c r="O82" s="1676"/>
      <c r="P82" s="1675"/>
      <c r="Q82" s="1675"/>
      <c r="R82" s="1675"/>
      <c r="S82" s="1675"/>
      <c r="T82" s="1675"/>
      <c r="U82" s="1675"/>
      <c r="V82" s="1675"/>
      <c r="W82" s="1675"/>
      <c r="X82" s="1675"/>
      <c r="Y82" s="1675"/>
      <c r="Z82" s="1675"/>
      <c r="AA82" s="1675"/>
    </row>
    <row r="83" spans="1:27" ht="13.5" customHeight="1" x14ac:dyDescent="0.3">
      <c r="A83" s="1690"/>
      <c r="B83" s="1702" t="s">
        <v>2016</v>
      </c>
      <c r="C83" s="1696" t="s">
        <v>2017</v>
      </c>
      <c r="D83" s="1697"/>
      <c r="E83" s="1697">
        <v>100</v>
      </c>
      <c r="F83" s="1693"/>
      <c r="G83" s="1674"/>
      <c r="H83" s="1674"/>
      <c r="I83" s="1675"/>
      <c r="J83" s="1675"/>
      <c r="K83" s="1675"/>
      <c r="L83" s="1675"/>
      <c r="M83" s="1676"/>
      <c r="N83" s="1676"/>
      <c r="O83" s="1737"/>
      <c r="P83" s="1675"/>
      <c r="Q83" s="1675"/>
      <c r="R83" s="1675"/>
      <c r="S83" s="1675"/>
      <c r="T83" s="1675"/>
      <c r="U83" s="1675"/>
      <c r="V83" s="1675"/>
      <c r="W83" s="1675"/>
      <c r="X83" s="1675"/>
      <c r="Y83" s="1675"/>
      <c r="Z83" s="1675"/>
      <c r="AA83" s="1675"/>
    </row>
    <row r="84" spans="1:27" ht="13.5" customHeight="1" x14ac:dyDescent="0.3">
      <c r="A84" s="1690"/>
      <c r="B84" s="1702"/>
      <c r="C84" s="1696"/>
      <c r="D84" s="1697"/>
      <c r="E84" s="1697"/>
      <c r="F84" s="1693"/>
      <c r="G84" s="1674"/>
      <c r="H84" s="1674"/>
      <c r="I84" s="1675"/>
      <c r="J84" s="1675"/>
      <c r="K84" s="1675"/>
      <c r="L84" s="1675"/>
      <c r="M84" s="1676"/>
      <c r="N84" s="1676"/>
      <c r="O84" s="1737"/>
      <c r="P84" s="1675"/>
      <c r="Q84" s="1675"/>
      <c r="R84" s="1675"/>
      <c r="S84" s="1675"/>
      <c r="T84" s="1675"/>
      <c r="U84" s="1675"/>
      <c r="V84" s="1675"/>
      <c r="W84" s="1675"/>
      <c r="X84" s="1675"/>
      <c r="Y84" s="1675"/>
      <c r="Z84" s="1675"/>
      <c r="AA84" s="1675"/>
    </row>
    <row r="85" spans="1:27" ht="13.2" customHeight="1" x14ac:dyDescent="0.3">
      <c r="A85" s="1690"/>
      <c r="B85" s="1713" t="s">
        <v>2018</v>
      </c>
      <c r="C85" s="1692"/>
      <c r="D85" s="1693"/>
      <c r="E85" s="1693"/>
      <c r="F85" s="1693"/>
      <c r="G85" s="1674"/>
      <c r="H85" s="1674"/>
      <c r="I85" s="1675"/>
      <c r="J85" s="1675"/>
      <c r="K85" s="1675"/>
      <c r="L85" s="1675"/>
      <c r="M85" s="1676"/>
      <c r="N85" s="1676"/>
      <c r="O85" s="1676"/>
      <c r="P85" s="1675"/>
      <c r="Q85" s="1675"/>
      <c r="R85" s="1675"/>
      <c r="S85" s="1675"/>
      <c r="T85" s="1675"/>
      <c r="U85" s="1675"/>
      <c r="V85" s="1675"/>
      <c r="W85" s="1675"/>
      <c r="X85" s="1675"/>
      <c r="Y85" s="1675"/>
      <c r="Z85" s="1675"/>
      <c r="AA85" s="1675"/>
    </row>
    <row r="86" spans="1:27" ht="13.2" customHeight="1" x14ac:dyDescent="0.3">
      <c r="A86" s="1690"/>
      <c r="B86" s="1694" t="s">
        <v>2019</v>
      </c>
      <c r="C86" s="1696" t="s">
        <v>346</v>
      </c>
      <c r="D86" s="1693"/>
      <c r="E86" s="1697">
        <v>172</v>
      </c>
      <c r="F86" s="1693"/>
      <c r="G86" s="1674"/>
      <c r="H86" s="1674"/>
      <c r="I86" s="1675"/>
      <c r="J86" s="1675"/>
      <c r="K86" s="1675"/>
      <c r="L86" s="1675"/>
      <c r="M86" s="1676"/>
      <c r="N86" s="1676"/>
      <c r="O86" s="1676"/>
      <c r="P86" s="1675"/>
      <c r="Q86" s="1675"/>
      <c r="R86" s="1675"/>
      <c r="S86" s="1675"/>
      <c r="T86" s="1675"/>
      <c r="U86" s="1675"/>
      <c r="V86" s="1675"/>
      <c r="W86" s="1675"/>
      <c r="X86" s="1675"/>
      <c r="Y86" s="1675"/>
      <c r="Z86" s="1675"/>
      <c r="AA86" s="1675"/>
    </row>
    <row r="87" spans="1:27" ht="13.2" customHeight="1" x14ac:dyDescent="0.3">
      <c r="A87" s="1690"/>
      <c r="B87" s="1694" t="s">
        <v>2020</v>
      </c>
      <c r="C87" s="1696" t="s">
        <v>346</v>
      </c>
      <c r="D87" s="1693"/>
      <c r="E87" s="1697">
        <v>150</v>
      </c>
      <c r="F87" s="1693"/>
      <c r="G87" s="1674"/>
      <c r="H87" s="1674"/>
      <c r="I87" s="1675"/>
      <c r="J87" s="1675"/>
      <c r="K87" s="1675"/>
      <c r="L87" s="1675"/>
      <c r="M87" s="1676"/>
      <c r="N87" s="1676"/>
      <c r="O87" s="1676"/>
      <c r="P87" s="1675"/>
      <c r="Q87" s="1675"/>
      <c r="R87" s="1675"/>
      <c r="S87" s="1675"/>
      <c r="T87" s="1675"/>
      <c r="U87" s="1675"/>
      <c r="V87" s="1675"/>
      <c r="W87" s="1675"/>
      <c r="X87" s="1675"/>
      <c r="Y87" s="1675"/>
      <c r="Z87" s="1675"/>
      <c r="AA87" s="1675"/>
    </row>
    <row r="88" spans="1:27" ht="13.2" customHeight="1" x14ac:dyDescent="0.3">
      <c r="A88" s="1690"/>
      <c r="B88" s="1694" t="s">
        <v>2021</v>
      </c>
      <c r="C88" s="1696" t="s">
        <v>346</v>
      </c>
      <c r="D88" s="1693"/>
      <c r="E88" s="1697"/>
      <c r="F88" s="1693"/>
      <c r="G88" s="1674"/>
      <c r="H88" s="1674"/>
      <c r="I88" s="1675"/>
      <c r="J88" s="1675"/>
      <c r="K88" s="1675"/>
      <c r="L88" s="1675"/>
      <c r="M88" s="1676"/>
      <c r="N88" s="1676"/>
      <c r="O88" s="1676"/>
      <c r="P88" s="1675"/>
      <c r="Q88" s="1675"/>
      <c r="R88" s="1675"/>
      <c r="S88" s="1675"/>
      <c r="T88" s="1675"/>
      <c r="U88" s="1675"/>
      <c r="V88" s="1675"/>
      <c r="W88" s="1675"/>
      <c r="X88" s="1675"/>
      <c r="Y88" s="1675"/>
      <c r="Z88" s="1675"/>
      <c r="AA88" s="1675"/>
    </row>
    <row r="89" spans="1:27" ht="13.2" customHeight="1" x14ac:dyDescent="0.3">
      <c r="A89" s="1690"/>
      <c r="B89" s="1694" t="s">
        <v>2022</v>
      </c>
      <c r="C89" s="1696" t="s">
        <v>346</v>
      </c>
      <c r="D89" s="1693"/>
      <c r="E89" s="1697">
        <v>140</v>
      </c>
      <c r="F89" s="1693"/>
      <c r="G89" s="1674"/>
      <c r="H89" s="1674"/>
      <c r="I89" s="1675"/>
      <c r="J89" s="1675"/>
      <c r="K89" s="1675"/>
      <c r="L89" s="1675"/>
      <c r="M89" s="1676"/>
      <c r="N89" s="1676"/>
      <c r="O89" s="1676"/>
      <c r="P89" s="1675"/>
      <c r="Q89" s="1675"/>
      <c r="R89" s="1675"/>
      <c r="S89" s="1675"/>
      <c r="T89" s="1675"/>
      <c r="U89" s="1675"/>
      <c r="V89" s="1675"/>
      <c r="W89" s="1675"/>
      <c r="X89" s="1675"/>
      <c r="Y89" s="1675"/>
      <c r="Z89" s="1675"/>
      <c r="AA89" s="1675"/>
    </row>
    <row r="90" spans="1:27" ht="13.2" customHeight="1" x14ac:dyDescent="0.3">
      <c r="A90" s="1690"/>
      <c r="B90" s="1694" t="s">
        <v>2023</v>
      </c>
      <c r="C90" s="1696" t="s">
        <v>346</v>
      </c>
      <c r="D90" s="1693"/>
      <c r="E90" s="1697"/>
      <c r="F90" s="1693"/>
      <c r="G90" s="1674"/>
      <c r="H90" s="1674"/>
      <c r="I90" s="1675"/>
      <c r="J90" s="1675"/>
      <c r="K90" s="1675"/>
      <c r="L90" s="1675"/>
      <c r="M90" s="1676"/>
      <c r="N90" s="1676"/>
      <c r="O90" s="1676"/>
      <c r="P90" s="1675"/>
      <c r="Q90" s="1675"/>
      <c r="R90" s="1675"/>
      <c r="S90" s="1675"/>
      <c r="T90" s="1675"/>
      <c r="U90" s="1675"/>
      <c r="V90" s="1675"/>
      <c r="W90" s="1675"/>
      <c r="X90" s="1675"/>
      <c r="Y90" s="1675"/>
      <c r="Z90" s="1675"/>
      <c r="AA90" s="1675"/>
    </row>
    <row r="91" spans="1:27" ht="13.2" customHeight="1" x14ac:dyDescent="0.3">
      <c r="A91" s="1690"/>
      <c r="B91" s="1694" t="s">
        <v>2024</v>
      </c>
      <c r="C91" s="1696" t="s">
        <v>1064</v>
      </c>
      <c r="D91" s="1693"/>
      <c r="E91" s="1697"/>
      <c r="F91" s="1693"/>
      <c r="G91" s="1674"/>
      <c r="H91" s="1674"/>
      <c r="I91" s="1675"/>
      <c r="J91" s="1675"/>
      <c r="K91" s="1675"/>
      <c r="L91" s="1675"/>
      <c r="M91" s="1676"/>
      <c r="N91" s="1676"/>
      <c r="O91" s="1676"/>
      <c r="P91" s="1675"/>
      <c r="Q91" s="1675"/>
      <c r="R91" s="1675"/>
      <c r="S91" s="1675"/>
      <c r="T91" s="1675"/>
      <c r="U91" s="1675"/>
      <c r="V91" s="1675"/>
      <c r="W91" s="1675"/>
      <c r="X91" s="1675"/>
      <c r="Y91" s="1675"/>
      <c r="Z91" s="1675"/>
      <c r="AA91" s="1675"/>
    </row>
    <row r="92" spans="1:27" ht="13.2" customHeight="1" x14ac:dyDescent="0.3">
      <c r="A92" s="1690"/>
      <c r="B92" s="1694" t="s">
        <v>2025</v>
      </c>
      <c r="C92" s="1696" t="s">
        <v>1064</v>
      </c>
      <c r="D92" s="1693"/>
      <c r="E92" s="1697">
        <v>55</v>
      </c>
      <c r="F92" s="1693"/>
      <c r="G92" s="1674"/>
      <c r="H92" s="1674"/>
      <c r="I92" s="1675"/>
      <c r="J92" s="1675"/>
      <c r="K92" s="1675"/>
      <c r="L92" s="1675"/>
      <c r="M92" s="1676"/>
      <c r="N92" s="1676"/>
      <c r="O92" s="1676"/>
      <c r="P92" s="1675"/>
      <c r="Q92" s="1675"/>
      <c r="R92" s="1675"/>
      <c r="S92" s="1675"/>
      <c r="T92" s="1675"/>
      <c r="U92" s="1675"/>
      <c r="V92" s="1675"/>
      <c r="W92" s="1675"/>
      <c r="X92" s="1675"/>
      <c r="Y92" s="1675"/>
      <c r="Z92" s="1675"/>
      <c r="AA92" s="1675"/>
    </row>
    <row r="93" spans="1:27" ht="13.2" customHeight="1" x14ac:dyDescent="0.3">
      <c r="A93" s="1690"/>
      <c r="B93" s="1694" t="s">
        <v>2026</v>
      </c>
      <c r="C93" s="1696" t="s">
        <v>1064</v>
      </c>
      <c r="D93" s="1693"/>
      <c r="E93" s="1697">
        <v>85</v>
      </c>
      <c r="F93" s="1693"/>
      <c r="G93" s="1674"/>
      <c r="H93" s="1674"/>
      <c r="I93" s="1675"/>
      <c r="J93" s="1675"/>
      <c r="K93" s="1675"/>
      <c r="L93" s="1675"/>
      <c r="M93" s="1676"/>
      <c r="N93" s="1676"/>
      <c r="O93" s="1676"/>
      <c r="P93" s="1675"/>
      <c r="Q93" s="1675"/>
      <c r="R93" s="1675"/>
      <c r="S93" s="1675"/>
      <c r="T93" s="1675"/>
      <c r="U93" s="1675"/>
      <c r="V93" s="1675"/>
      <c r="W93" s="1675"/>
      <c r="X93" s="1675"/>
      <c r="Y93" s="1675"/>
      <c r="Z93" s="1675"/>
      <c r="AA93" s="1675"/>
    </row>
    <row r="94" spans="1:27" ht="13.2" customHeight="1" x14ac:dyDescent="0.3">
      <c r="A94" s="1690"/>
      <c r="B94" s="1694" t="s">
        <v>2027</v>
      </c>
      <c r="C94" s="1696" t="s">
        <v>1064</v>
      </c>
      <c r="D94" s="1693"/>
      <c r="E94" s="1697"/>
      <c r="F94" s="1693"/>
      <c r="G94" s="1674"/>
      <c r="H94" s="1674"/>
      <c r="I94" s="1675"/>
      <c r="J94" s="1675"/>
      <c r="K94" s="1675"/>
      <c r="L94" s="1675"/>
      <c r="M94" s="1676"/>
      <c r="N94" s="1676"/>
      <c r="O94" s="1676"/>
      <c r="P94" s="1675"/>
      <c r="Q94" s="1675"/>
      <c r="R94" s="1675"/>
      <c r="S94" s="1675"/>
      <c r="T94" s="1675"/>
      <c r="U94" s="1675"/>
      <c r="V94" s="1675"/>
      <c r="W94" s="1675"/>
      <c r="X94" s="1675"/>
      <c r="Y94" s="1675"/>
      <c r="Z94" s="1675"/>
      <c r="AA94" s="1675"/>
    </row>
    <row r="95" spans="1:27" ht="13.2" customHeight="1" x14ac:dyDescent="0.3">
      <c r="A95" s="1690"/>
      <c r="B95" s="1694" t="s">
        <v>2028</v>
      </c>
      <c r="C95" s="1696" t="s">
        <v>1064</v>
      </c>
      <c r="D95" s="1693"/>
      <c r="E95" s="1697">
        <v>50</v>
      </c>
      <c r="F95" s="1693"/>
      <c r="G95" s="1674"/>
      <c r="H95" s="1674"/>
      <c r="I95" s="1675"/>
      <c r="J95" s="1675"/>
      <c r="K95" s="1675"/>
      <c r="L95" s="1675"/>
      <c r="M95" s="1676"/>
      <c r="N95" s="1676"/>
      <c r="O95" s="1676"/>
      <c r="P95" s="1675"/>
      <c r="Q95" s="1675"/>
      <c r="R95" s="1675"/>
      <c r="S95" s="1675"/>
      <c r="T95" s="1675"/>
      <c r="U95" s="1675"/>
      <c r="V95" s="1675"/>
      <c r="W95" s="1675"/>
      <c r="X95" s="1675"/>
      <c r="Y95" s="1675"/>
      <c r="Z95" s="1675"/>
      <c r="AA95" s="1675"/>
    </row>
    <row r="96" spans="1:27" ht="13.2" customHeight="1" x14ac:dyDescent="0.3">
      <c r="A96" s="1690"/>
      <c r="B96" s="1694" t="s">
        <v>2029</v>
      </c>
      <c r="C96" s="1696" t="s">
        <v>1064</v>
      </c>
      <c r="D96" s="1693"/>
      <c r="E96" s="1697">
        <v>30</v>
      </c>
      <c r="F96" s="1693"/>
      <c r="G96" s="1674"/>
      <c r="H96" s="1674"/>
      <c r="I96" s="1675"/>
      <c r="J96" s="1675"/>
      <c r="K96" s="1675"/>
      <c r="L96" s="1675"/>
      <c r="M96" s="1676"/>
      <c r="N96" s="1676"/>
      <c r="O96" s="1676"/>
      <c r="P96" s="1675"/>
      <c r="Q96" s="1675"/>
      <c r="R96" s="1675"/>
      <c r="S96" s="1675"/>
      <c r="T96" s="1675"/>
      <c r="U96" s="1675"/>
      <c r="V96" s="1675"/>
      <c r="W96" s="1675"/>
      <c r="X96" s="1675"/>
      <c r="Y96" s="1675"/>
      <c r="Z96" s="1675"/>
      <c r="AA96" s="1675"/>
    </row>
    <row r="97" spans="1:27" ht="13.2" customHeight="1" x14ac:dyDescent="0.3">
      <c r="A97" s="1690"/>
      <c r="B97" s="1694" t="s">
        <v>2030</v>
      </c>
      <c r="C97" s="1696" t="s">
        <v>1064</v>
      </c>
      <c r="D97" s="1693"/>
      <c r="E97" s="1697">
        <v>50</v>
      </c>
      <c r="F97" s="1693"/>
      <c r="G97" s="1674"/>
      <c r="H97" s="1674"/>
      <c r="I97" s="1675"/>
      <c r="J97" s="1675"/>
      <c r="K97" s="1675"/>
      <c r="L97" s="1675"/>
      <c r="M97" s="1676"/>
      <c r="N97" s="1676"/>
      <c r="O97" s="1676"/>
      <c r="P97" s="1675"/>
      <c r="Q97" s="1675"/>
      <c r="R97" s="1675"/>
      <c r="S97" s="1675"/>
      <c r="T97" s="1675"/>
      <c r="U97" s="1675"/>
      <c r="V97" s="1675"/>
      <c r="W97" s="1675"/>
      <c r="X97" s="1675"/>
      <c r="Y97" s="1675"/>
      <c r="Z97" s="1675"/>
      <c r="AA97" s="1675"/>
    </row>
    <row r="98" spans="1:27" ht="13.2" customHeight="1" x14ac:dyDescent="0.3">
      <c r="A98" s="1690"/>
      <c r="B98" s="1694" t="s">
        <v>2031</v>
      </c>
      <c r="C98" s="1696" t="s">
        <v>1064</v>
      </c>
      <c r="D98" s="1693"/>
      <c r="E98" s="1697">
        <v>85</v>
      </c>
      <c r="F98" s="1693"/>
      <c r="G98" s="1674"/>
      <c r="H98" s="1674"/>
      <c r="I98" s="1675"/>
      <c r="J98" s="1675"/>
      <c r="K98" s="1675"/>
      <c r="L98" s="1675"/>
      <c r="M98" s="1676"/>
      <c r="N98" s="1676"/>
      <c r="O98" s="1676"/>
      <c r="P98" s="1675"/>
      <c r="Q98" s="1675"/>
      <c r="R98" s="1675"/>
      <c r="S98" s="1675"/>
      <c r="T98" s="1675"/>
      <c r="U98" s="1675"/>
      <c r="V98" s="1675"/>
      <c r="W98" s="1675"/>
      <c r="X98" s="1675"/>
      <c r="Y98" s="1675"/>
      <c r="Z98" s="1675"/>
      <c r="AA98" s="1675"/>
    </row>
    <row r="99" spans="1:27" ht="13.2" customHeight="1" x14ac:dyDescent="0.3">
      <c r="A99" s="1690"/>
      <c r="B99" s="1694" t="s">
        <v>2032</v>
      </c>
      <c r="C99" s="1696" t="s">
        <v>1064</v>
      </c>
      <c r="D99" s="1693"/>
      <c r="E99" s="1697">
        <v>85</v>
      </c>
      <c r="F99" s="1693"/>
      <c r="G99" s="1674"/>
      <c r="H99" s="1674"/>
      <c r="I99" s="1675"/>
      <c r="J99" s="1675"/>
      <c r="K99" s="1675"/>
      <c r="L99" s="1675"/>
      <c r="M99" s="1676"/>
      <c r="N99" s="1676"/>
      <c r="O99" s="1676"/>
      <c r="P99" s="1675"/>
      <c r="Q99" s="1675"/>
      <c r="R99" s="1675"/>
      <c r="S99" s="1675"/>
      <c r="T99" s="1675"/>
      <c r="U99" s="1675"/>
      <c r="V99" s="1675"/>
      <c r="W99" s="1675"/>
      <c r="X99" s="1675"/>
      <c r="Y99" s="1675"/>
      <c r="Z99" s="1675"/>
      <c r="AA99" s="1675"/>
    </row>
    <row r="100" spans="1:27" ht="13.2" customHeight="1" x14ac:dyDescent="0.3">
      <c r="A100" s="1690"/>
      <c r="B100" s="1694" t="s">
        <v>2033</v>
      </c>
      <c r="C100" s="1696" t="s">
        <v>1064</v>
      </c>
      <c r="D100" s="1693"/>
      <c r="E100" s="1697"/>
      <c r="F100" s="1693"/>
      <c r="G100" s="1674"/>
      <c r="H100" s="1674"/>
      <c r="I100" s="1675"/>
      <c r="J100" s="1675"/>
      <c r="K100" s="1675"/>
      <c r="L100" s="1675"/>
      <c r="M100" s="1676"/>
      <c r="N100" s="1676"/>
      <c r="O100" s="1676"/>
      <c r="P100" s="1675"/>
      <c r="Q100" s="1675"/>
      <c r="R100" s="1675"/>
      <c r="S100" s="1675"/>
      <c r="T100" s="1675"/>
      <c r="U100" s="1675"/>
      <c r="V100" s="1675"/>
      <c r="W100" s="1675"/>
      <c r="X100" s="1675"/>
      <c r="Y100" s="1675"/>
      <c r="Z100" s="1675"/>
      <c r="AA100" s="1675"/>
    </row>
    <row r="101" spans="1:27" ht="13.2" customHeight="1" x14ac:dyDescent="0.3">
      <c r="A101" s="1690"/>
      <c r="B101" s="1694" t="s">
        <v>2034</v>
      </c>
      <c r="C101" s="1696" t="s">
        <v>1064</v>
      </c>
      <c r="D101" s="1693"/>
      <c r="E101" s="1697"/>
      <c r="F101" s="1693"/>
      <c r="G101" s="1674"/>
      <c r="H101" s="1674"/>
      <c r="I101" s="1675"/>
      <c r="J101" s="1675"/>
      <c r="K101" s="1675"/>
      <c r="L101" s="1675"/>
      <c r="M101" s="1676"/>
      <c r="N101" s="1676"/>
      <c r="O101" s="1676"/>
      <c r="P101" s="1675"/>
      <c r="Q101" s="1675"/>
      <c r="R101" s="1675"/>
      <c r="S101" s="1675"/>
      <c r="T101" s="1675"/>
      <c r="U101" s="1675"/>
      <c r="V101" s="1675"/>
      <c r="W101" s="1675"/>
      <c r="X101" s="1675"/>
      <c r="Y101" s="1675"/>
      <c r="Z101" s="1675"/>
      <c r="AA101" s="1675"/>
    </row>
    <row r="102" spans="1:27" ht="13.2" customHeight="1" x14ac:dyDescent="0.3">
      <c r="A102" s="1690"/>
      <c r="B102" s="1694" t="s">
        <v>2035</v>
      </c>
      <c r="C102" s="1696" t="s">
        <v>2013</v>
      </c>
      <c r="D102" s="1693"/>
      <c r="E102" s="1697">
        <v>200</v>
      </c>
      <c r="F102" s="1693"/>
      <c r="G102" s="1674"/>
      <c r="H102" s="1674"/>
      <c r="I102" s="1675"/>
      <c r="J102" s="1675"/>
      <c r="K102" s="1675"/>
      <c r="L102" s="1675"/>
      <c r="M102" s="1676"/>
      <c r="N102" s="1676"/>
      <c r="O102" s="1676"/>
      <c r="P102" s="1675"/>
      <c r="Q102" s="1675"/>
      <c r="R102" s="1675"/>
      <c r="S102" s="1675"/>
      <c r="T102" s="1675"/>
      <c r="U102" s="1675"/>
      <c r="V102" s="1675"/>
      <c r="W102" s="1675"/>
      <c r="X102" s="1675"/>
      <c r="Y102" s="1675"/>
      <c r="Z102" s="1675"/>
      <c r="AA102" s="1675"/>
    </row>
    <row r="103" spans="1:27" ht="15.6" customHeight="1" x14ac:dyDescent="0.3">
      <c r="A103" s="1690"/>
      <c r="B103" s="1705"/>
      <c r="C103" s="1692"/>
      <c r="D103" s="1693"/>
      <c r="E103" s="1693"/>
      <c r="F103" s="1693"/>
      <c r="G103" s="1674"/>
      <c r="H103" s="1674"/>
      <c r="I103" s="1675"/>
      <c r="J103" s="1675"/>
      <c r="K103" s="1675"/>
      <c r="L103" s="1675"/>
      <c r="M103" s="1676"/>
      <c r="N103" s="1676"/>
      <c r="O103" s="1676"/>
      <c r="P103" s="1675"/>
      <c r="Q103" s="1675"/>
      <c r="R103" s="1675"/>
      <c r="S103" s="1675"/>
      <c r="T103" s="1675"/>
      <c r="U103" s="1675"/>
      <c r="V103" s="1675"/>
      <c r="W103" s="1675"/>
      <c r="X103" s="1675"/>
      <c r="Y103" s="1675"/>
      <c r="Z103" s="1675"/>
      <c r="AA103" s="1675"/>
    </row>
    <row r="104" spans="1:27" ht="13.5" customHeight="1" x14ac:dyDescent="0.3">
      <c r="A104" s="1690"/>
      <c r="B104" s="1726" t="s">
        <v>2036</v>
      </c>
      <c r="C104" s="1692"/>
      <c r="D104" s="1693"/>
      <c r="E104" s="1693"/>
      <c r="F104" s="1693"/>
      <c r="G104" s="1674"/>
      <c r="H104" s="1674"/>
      <c r="I104" s="1675"/>
      <c r="J104" s="1675"/>
      <c r="K104" s="1675"/>
      <c r="L104" s="1675"/>
      <c r="M104" s="1676"/>
      <c r="N104" s="1676"/>
      <c r="O104" s="1676"/>
      <c r="P104" s="1675"/>
      <c r="Q104" s="1675"/>
      <c r="R104" s="1675"/>
      <c r="S104" s="1675"/>
      <c r="T104" s="1675"/>
      <c r="U104" s="1675"/>
      <c r="V104" s="1675"/>
      <c r="W104" s="1675"/>
      <c r="X104" s="1675"/>
      <c r="Y104" s="1675"/>
      <c r="Z104" s="1675"/>
      <c r="AA104" s="1675"/>
    </row>
    <row r="105" spans="1:27" ht="13.5" customHeight="1" x14ac:dyDescent="0.3">
      <c r="A105" s="1690"/>
      <c r="B105" s="1705"/>
      <c r="C105" s="1696"/>
      <c r="D105" s="1697"/>
      <c r="E105" s="1697"/>
      <c r="F105" s="1693"/>
      <c r="G105" s="1674"/>
      <c r="H105" s="1674"/>
      <c r="I105" s="1675"/>
      <c r="J105" s="1675"/>
      <c r="K105" s="1675"/>
      <c r="L105" s="1675"/>
      <c r="M105" s="1676"/>
      <c r="N105" s="1676"/>
      <c r="O105" s="1676"/>
      <c r="P105" s="1675"/>
      <c r="Q105" s="1675"/>
      <c r="R105" s="1675"/>
      <c r="S105" s="1675"/>
      <c r="T105" s="1675"/>
      <c r="U105" s="1675"/>
      <c r="V105" s="1675"/>
      <c r="W105" s="1675"/>
      <c r="X105" s="1675"/>
      <c r="Y105" s="1675"/>
      <c r="Z105" s="1675"/>
      <c r="AA105" s="1675"/>
    </row>
    <row r="106" spans="1:27" ht="13.5" customHeight="1" x14ac:dyDescent="0.3">
      <c r="A106" s="1690"/>
      <c r="B106" s="1705" t="s">
        <v>2037</v>
      </c>
      <c r="C106" s="1696" t="s">
        <v>2013</v>
      </c>
      <c r="D106" s="1697"/>
      <c r="E106" s="1697"/>
      <c r="F106" s="1693"/>
      <c r="G106" s="1674"/>
      <c r="H106" s="1674"/>
      <c r="I106" s="1675"/>
      <c r="J106" s="1675"/>
      <c r="K106" s="1675"/>
      <c r="L106" s="1675"/>
      <c r="M106" s="1676"/>
      <c r="N106" s="1676"/>
      <c r="O106" s="1676"/>
      <c r="P106" s="1675"/>
      <c r="Q106" s="1675"/>
      <c r="R106" s="1675"/>
      <c r="S106" s="1675"/>
      <c r="T106" s="1675"/>
      <c r="U106" s="1675"/>
      <c r="V106" s="1675"/>
      <c r="W106" s="1675"/>
      <c r="X106" s="1675"/>
      <c r="Y106" s="1675"/>
      <c r="Z106" s="1675"/>
      <c r="AA106" s="1675"/>
    </row>
    <row r="107" spans="1:27" s="1701" customFormat="1" ht="13.5" customHeight="1" x14ac:dyDescent="0.3">
      <c r="A107" s="1738"/>
      <c r="B107" s="1739" t="s">
        <v>2038</v>
      </c>
      <c r="C107" s="1733" t="s">
        <v>2013</v>
      </c>
      <c r="D107" s="1734"/>
      <c r="E107" s="1734">
        <v>18</v>
      </c>
      <c r="F107" s="1734" t="s">
        <v>2039</v>
      </c>
      <c r="G107" s="1698"/>
      <c r="H107" s="1698"/>
      <c r="I107" s="1699"/>
      <c r="J107" s="1699"/>
      <c r="K107" s="1699">
        <v>13</v>
      </c>
      <c r="L107" s="1675"/>
      <c r="M107" s="1676"/>
      <c r="N107" s="1676"/>
      <c r="O107" s="1676"/>
      <c r="P107" s="1675"/>
      <c r="Q107" s="1699"/>
      <c r="R107" s="1699"/>
      <c r="S107" s="1699"/>
      <c r="T107" s="1699"/>
      <c r="U107" s="1699"/>
      <c r="V107" s="1699"/>
      <c r="W107" s="1699"/>
      <c r="X107" s="1699"/>
      <c r="Y107" s="1699"/>
      <c r="Z107" s="1699"/>
      <c r="AA107" s="1699"/>
    </row>
    <row r="108" spans="1:27" s="1701" customFormat="1" ht="13.5" customHeight="1" x14ac:dyDescent="0.3">
      <c r="A108" s="1738"/>
      <c r="B108" s="1739" t="s">
        <v>2040</v>
      </c>
      <c r="C108" s="1733" t="s">
        <v>2013</v>
      </c>
      <c r="D108" s="1734"/>
      <c r="E108" s="1734">
        <v>38</v>
      </c>
      <c r="F108" s="1734"/>
      <c r="G108" s="1698"/>
      <c r="H108" s="1698"/>
      <c r="I108" s="1699"/>
      <c r="J108" s="1699"/>
      <c r="K108" s="1699">
        <v>30</v>
      </c>
      <c r="L108" s="1699"/>
      <c r="M108" s="1700"/>
      <c r="N108" s="1700"/>
      <c r="O108" s="1700"/>
      <c r="P108" s="1699"/>
      <c r="Q108" s="1699"/>
      <c r="R108" s="1699"/>
      <c r="S108" s="1699"/>
      <c r="T108" s="1699"/>
      <c r="U108" s="1699"/>
      <c r="V108" s="1699"/>
      <c r="W108" s="1699"/>
      <c r="X108" s="1699"/>
      <c r="Y108" s="1699"/>
      <c r="Z108" s="1699"/>
      <c r="AA108" s="1699"/>
    </row>
    <row r="109" spans="1:27" ht="13.5" customHeight="1" x14ac:dyDescent="0.3">
      <c r="A109" s="1690"/>
      <c r="B109" s="1740"/>
      <c r="C109" s="1692"/>
      <c r="D109" s="1693"/>
      <c r="E109" s="1693"/>
      <c r="F109" s="1693"/>
      <c r="G109" s="1674">
        <f t="shared" ref="G109:G113" si="3">E109-D109</f>
        <v>0</v>
      </c>
      <c r="H109" s="1674"/>
      <c r="I109" s="1675"/>
      <c r="J109" s="1675"/>
      <c r="L109" s="1699"/>
      <c r="M109" s="1700"/>
      <c r="N109" s="1700"/>
      <c r="O109" s="1700"/>
      <c r="P109" s="1699"/>
      <c r="Q109" s="1675"/>
      <c r="R109" s="1675"/>
      <c r="S109" s="1675"/>
      <c r="T109" s="1675" t="s">
        <v>2041</v>
      </c>
      <c r="U109" s="1675"/>
      <c r="V109" s="1675"/>
      <c r="W109" s="1675"/>
      <c r="X109" s="1675"/>
      <c r="Y109" s="1675"/>
      <c r="Z109" s="1675"/>
      <c r="AA109" s="1675"/>
    </row>
    <row r="110" spans="1:27" ht="13.5" customHeight="1" x14ac:dyDescent="0.3">
      <c r="A110" s="1690"/>
      <c r="B110" s="1736" t="s">
        <v>2042</v>
      </c>
      <c r="C110" s="1692"/>
      <c r="D110" s="1693"/>
      <c r="E110" s="1693"/>
      <c r="F110" s="1693"/>
      <c r="G110" s="1674">
        <f t="shared" si="3"/>
        <v>0</v>
      </c>
      <c r="H110" s="1674"/>
      <c r="I110" s="1675"/>
      <c r="J110" s="1675"/>
      <c r="K110" s="1675"/>
      <c r="L110" s="1728" t="s">
        <v>2043</v>
      </c>
      <c r="M110" s="1728" t="s">
        <v>2044</v>
      </c>
      <c r="N110" s="1728" t="s">
        <v>2045</v>
      </c>
      <c r="O110" s="1728" t="s">
        <v>2046</v>
      </c>
      <c r="P110" s="1728" t="s">
        <v>2047</v>
      </c>
      <c r="Q110" s="1675"/>
      <c r="R110" s="1675"/>
      <c r="S110" s="1675"/>
      <c r="T110" s="1675"/>
      <c r="U110" s="1675"/>
      <c r="V110" s="1675"/>
      <c r="W110" s="1675"/>
      <c r="X110" s="1675"/>
      <c r="Y110" s="1675"/>
      <c r="Z110" s="1675"/>
      <c r="AA110" s="1675"/>
    </row>
    <row r="111" spans="1:27" ht="13.5" customHeight="1" x14ac:dyDescent="0.3">
      <c r="A111" s="1673"/>
      <c r="B111" s="1741" t="s">
        <v>2048</v>
      </c>
      <c r="C111" s="1679" t="s">
        <v>78</v>
      </c>
      <c r="D111" s="1693">
        <v>156</v>
      </c>
      <c r="E111" s="1693"/>
      <c r="F111" s="1742" t="s">
        <v>2049</v>
      </c>
      <c r="G111" s="1674">
        <f t="shared" si="3"/>
        <v>-156</v>
      </c>
      <c r="H111" s="1674"/>
      <c r="I111" s="1675"/>
      <c r="J111" s="1675"/>
      <c r="K111" s="1675"/>
      <c r="L111" s="1743" t="s">
        <v>2048</v>
      </c>
      <c r="M111" s="1744">
        <v>156</v>
      </c>
      <c r="N111" s="1745"/>
      <c r="O111" s="1744"/>
      <c r="P111" s="1746"/>
      <c r="Q111" s="1675"/>
      <c r="R111" s="1675"/>
      <c r="S111" s="1675"/>
      <c r="T111" s="1675"/>
      <c r="U111" s="1675"/>
      <c r="V111" s="1675"/>
      <c r="W111" s="1675"/>
      <c r="X111" s="1675"/>
      <c r="Y111" s="1675"/>
      <c r="Z111" s="1675"/>
      <c r="AA111" s="1675"/>
    </row>
    <row r="112" spans="1:27" ht="13.5" customHeight="1" x14ac:dyDescent="0.3">
      <c r="A112" s="1673"/>
      <c r="B112" s="1741" t="s">
        <v>2050</v>
      </c>
      <c r="C112" s="1679" t="s">
        <v>78</v>
      </c>
      <c r="D112" s="1693">
        <v>231</v>
      </c>
      <c r="E112" s="1693"/>
      <c r="F112" s="1742" t="s">
        <v>2049</v>
      </c>
      <c r="G112" s="1674">
        <f t="shared" si="3"/>
        <v>-231</v>
      </c>
      <c r="H112" s="1674"/>
      <c r="I112" s="1675"/>
      <c r="J112" s="1675"/>
      <c r="K112" s="1675"/>
      <c r="L112" s="1747" t="s">
        <v>2050</v>
      </c>
      <c r="M112" s="1748">
        <v>231</v>
      </c>
      <c r="N112" s="1749"/>
      <c r="O112" s="1748"/>
      <c r="P112" s="1750"/>
      <c r="Q112" s="1675"/>
      <c r="R112" s="1675"/>
      <c r="S112" s="1675"/>
      <c r="T112" s="1675"/>
      <c r="U112" s="1675"/>
      <c r="V112" s="1675"/>
      <c r="W112" s="1675"/>
      <c r="X112" s="1675"/>
      <c r="Y112" s="1675"/>
      <c r="Z112" s="1675"/>
      <c r="AA112" s="1675"/>
    </row>
    <row r="113" spans="1:27" ht="13.5" customHeight="1" x14ac:dyDescent="0.3">
      <c r="A113" s="1673"/>
      <c r="B113" s="1741" t="s">
        <v>2051</v>
      </c>
      <c r="C113" s="1679" t="s">
        <v>78</v>
      </c>
      <c r="D113" s="1693">
        <v>308</v>
      </c>
      <c r="E113" s="1693"/>
      <c r="F113" s="1742" t="s">
        <v>2049</v>
      </c>
      <c r="G113" s="1674">
        <f t="shared" si="3"/>
        <v>-308</v>
      </c>
      <c r="H113" s="1674"/>
      <c r="I113" s="1675"/>
      <c r="J113" s="1675"/>
      <c r="K113" s="1675"/>
      <c r="L113" s="1747" t="s">
        <v>2051</v>
      </c>
      <c r="M113" s="1748">
        <v>308</v>
      </c>
      <c r="N113" s="1749"/>
      <c r="O113" s="1748"/>
      <c r="P113" s="1750"/>
      <c r="Q113" s="1675"/>
      <c r="R113" s="1675"/>
      <c r="S113" s="1675"/>
      <c r="T113" s="1675"/>
      <c r="U113" s="1675"/>
      <c r="V113" s="1675"/>
      <c r="W113" s="1675"/>
      <c r="X113" s="1675"/>
      <c r="Y113" s="1675"/>
      <c r="Z113" s="1675"/>
      <c r="AA113" s="1675"/>
    </row>
    <row r="114" spans="1:27" ht="13.5" customHeight="1" x14ac:dyDescent="0.3">
      <c r="A114" s="1673"/>
      <c r="B114" s="1741"/>
      <c r="C114" s="1679"/>
      <c r="D114" s="1693"/>
      <c r="E114" s="1693"/>
      <c r="F114" s="1693"/>
      <c r="G114" s="1674"/>
      <c r="H114" s="1674"/>
      <c r="I114" s="1675"/>
      <c r="J114" s="1675"/>
      <c r="K114" s="1675"/>
      <c r="L114" s="1747"/>
      <c r="M114" s="1748"/>
      <c r="N114" s="1748"/>
      <c r="O114" s="1748"/>
      <c r="P114" s="1750"/>
      <c r="Q114" s="1675"/>
      <c r="R114" s="1675"/>
      <c r="S114" s="1675"/>
      <c r="T114" s="1675"/>
      <c r="U114" s="1675"/>
      <c r="V114" s="1675"/>
      <c r="W114" s="1675"/>
      <c r="X114" s="1675"/>
      <c r="Y114" s="1675"/>
      <c r="Z114" s="1675"/>
      <c r="AA114" s="1675"/>
    </row>
    <row r="115" spans="1:27" ht="13.5" customHeight="1" x14ac:dyDescent="0.3">
      <c r="A115" s="1673"/>
      <c r="B115" s="1741" t="s">
        <v>2052</v>
      </c>
      <c r="C115" s="1679" t="s">
        <v>78</v>
      </c>
      <c r="D115" s="1693">
        <v>109</v>
      </c>
      <c r="E115" s="1693"/>
      <c r="F115" s="1742" t="s">
        <v>2049</v>
      </c>
      <c r="G115" s="1674"/>
      <c r="H115" s="1674"/>
      <c r="I115" s="1675"/>
      <c r="J115" s="1675"/>
      <c r="K115" s="1675"/>
      <c r="L115" s="1747" t="s">
        <v>2052</v>
      </c>
      <c r="M115" s="1748">
        <v>109</v>
      </c>
      <c r="N115" s="1748"/>
      <c r="O115" s="1748"/>
      <c r="P115" s="1750"/>
      <c r="Q115" s="1675"/>
      <c r="R115" s="1675"/>
      <c r="S115" s="1675"/>
      <c r="T115" s="1675"/>
      <c r="U115" s="1675"/>
      <c r="V115" s="1675"/>
      <c r="W115" s="1675"/>
      <c r="X115" s="1675"/>
      <c r="Y115" s="1675"/>
      <c r="Z115" s="1675"/>
      <c r="AA115" s="1675"/>
    </row>
    <row r="116" spans="1:27" ht="13.5" customHeight="1" x14ac:dyDescent="0.3">
      <c r="A116" s="1673"/>
      <c r="B116" s="1741" t="s">
        <v>2053</v>
      </c>
      <c r="C116" s="1679" t="s">
        <v>78</v>
      </c>
      <c r="D116" s="1693">
        <v>168</v>
      </c>
      <c r="E116" s="1693"/>
      <c r="F116" s="1742" t="s">
        <v>2049</v>
      </c>
      <c r="G116" s="1674">
        <f t="shared" ref="G116:G117" si="4">E116-D116</f>
        <v>-168</v>
      </c>
      <c r="H116" s="1674"/>
      <c r="I116" s="1675"/>
      <c r="J116" s="1675"/>
      <c r="K116" s="1675"/>
      <c r="L116" s="1747" t="s">
        <v>2053</v>
      </c>
      <c r="M116" s="1748">
        <v>168</v>
      </c>
      <c r="N116" s="1748"/>
      <c r="O116" s="1748"/>
      <c r="P116" s="1750"/>
      <c r="Q116" s="1675"/>
      <c r="R116" s="1675"/>
      <c r="S116" s="1675"/>
      <c r="T116" s="1675"/>
      <c r="U116" s="1675"/>
      <c r="V116" s="1675"/>
      <c r="W116" s="1675"/>
      <c r="X116" s="1675"/>
      <c r="Y116" s="1675"/>
      <c r="Z116" s="1675"/>
      <c r="AA116" s="1675"/>
    </row>
    <row r="117" spans="1:27" ht="13.5" customHeight="1" x14ac:dyDescent="0.3">
      <c r="A117" s="1673"/>
      <c r="B117" s="1741" t="s">
        <v>2054</v>
      </c>
      <c r="C117" s="1679" t="s">
        <v>78</v>
      </c>
      <c r="D117" s="1693">
        <v>237</v>
      </c>
      <c r="E117" s="1693"/>
      <c r="F117" s="1742" t="s">
        <v>2049</v>
      </c>
      <c r="G117" s="1674">
        <f t="shared" si="4"/>
        <v>-237</v>
      </c>
      <c r="H117" s="1674"/>
      <c r="I117" s="1675"/>
      <c r="J117" s="1675"/>
      <c r="K117" s="1675"/>
      <c r="L117" s="1747" t="s">
        <v>2054</v>
      </c>
      <c r="M117" s="1748">
        <v>237</v>
      </c>
      <c r="N117" s="1748"/>
      <c r="O117" s="1748"/>
      <c r="P117" s="1750"/>
      <c r="Q117" s="1675"/>
      <c r="R117" s="1675"/>
      <c r="S117" s="1675"/>
      <c r="T117" s="1675"/>
      <c r="U117" s="1675"/>
      <c r="V117" s="1675"/>
      <c r="W117" s="1675"/>
      <c r="X117" s="1675"/>
      <c r="Y117" s="1675"/>
      <c r="Z117" s="1675"/>
      <c r="AA117" s="1675"/>
    </row>
    <row r="118" spans="1:27" ht="13.5" customHeight="1" x14ac:dyDescent="0.3">
      <c r="A118" s="1690"/>
      <c r="B118" s="1740"/>
      <c r="C118" s="1692"/>
      <c r="D118" s="1693"/>
      <c r="E118" s="1693"/>
      <c r="F118" s="1693"/>
      <c r="G118" s="1674"/>
      <c r="H118" s="1674"/>
      <c r="I118" s="1675"/>
      <c r="J118" s="1675"/>
      <c r="K118" s="1675"/>
      <c r="L118" s="1675"/>
      <c r="M118" s="1676"/>
      <c r="N118" s="1676"/>
      <c r="O118" s="1676"/>
      <c r="P118" s="1675"/>
      <c r="Q118" s="1675"/>
      <c r="R118" s="1675"/>
      <c r="S118" s="1675"/>
      <c r="T118" s="1675"/>
      <c r="U118" s="1675"/>
      <c r="V118" s="1675"/>
      <c r="W118" s="1675"/>
      <c r="X118" s="1675"/>
      <c r="Y118" s="1675"/>
      <c r="Z118" s="1675"/>
      <c r="AA118" s="1675"/>
    </row>
    <row r="119" spans="1:27" ht="13.5" customHeight="1" x14ac:dyDescent="0.3">
      <c r="A119" s="1690"/>
      <c r="B119" s="1736" t="s">
        <v>2055</v>
      </c>
      <c r="C119" s="1692"/>
      <c r="D119" s="1693"/>
      <c r="E119" s="1693"/>
      <c r="F119" s="1693"/>
      <c r="G119" s="1674"/>
      <c r="H119" s="1674"/>
      <c r="I119" s="1675"/>
      <c r="J119" s="1675"/>
      <c r="K119" s="1675"/>
      <c r="L119" s="1675"/>
      <c r="M119" s="1676"/>
      <c r="N119" s="1676"/>
      <c r="O119" s="1676"/>
      <c r="P119" s="1675"/>
      <c r="Q119" s="1675"/>
      <c r="R119" s="1675"/>
      <c r="S119" s="1675"/>
      <c r="T119" s="1675"/>
      <c r="U119" s="1675"/>
      <c r="V119" s="1675"/>
      <c r="W119" s="1675"/>
      <c r="X119" s="1675"/>
      <c r="Y119" s="1675"/>
      <c r="Z119" s="1675"/>
      <c r="AA119" s="1675"/>
    </row>
    <row r="120" spans="1:27" ht="13.5" customHeight="1" x14ac:dyDescent="0.3">
      <c r="A120" s="1690"/>
      <c r="B120" s="1702" t="s">
        <v>2056</v>
      </c>
      <c r="C120" s="1696" t="s">
        <v>2013</v>
      </c>
      <c r="D120" s="1693"/>
      <c r="E120" s="1697"/>
      <c r="F120" s="1693"/>
      <c r="G120" s="1674"/>
      <c r="H120" s="1674"/>
      <c r="I120" s="1675"/>
      <c r="J120" s="1675"/>
      <c r="K120" s="1675"/>
      <c r="L120" s="1675"/>
      <c r="M120" s="1676"/>
      <c r="N120" s="1676"/>
      <c r="O120" s="1676"/>
      <c r="P120" s="1675"/>
      <c r="Q120" s="1675"/>
      <c r="R120" s="1675"/>
      <c r="S120" s="1675"/>
      <c r="T120" s="1675"/>
      <c r="U120" s="1675"/>
      <c r="V120" s="1675"/>
      <c r="W120" s="1675"/>
      <c r="X120" s="1675"/>
      <c r="Y120" s="1675"/>
      <c r="Z120" s="1675"/>
      <c r="AA120" s="1675"/>
    </row>
    <row r="121" spans="1:27" ht="13.5" customHeight="1" x14ac:dyDescent="0.3">
      <c r="A121" s="1690"/>
      <c r="B121" s="1702" t="s">
        <v>2057</v>
      </c>
      <c r="C121" s="1696" t="s">
        <v>2013</v>
      </c>
      <c r="D121" s="1693"/>
      <c r="E121" s="1697"/>
      <c r="F121" s="1693"/>
      <c r="G121" s="1674"/>
      <c r="H121" s="1674"/>
      <c r="I121" s="1675"/>
      <c r="J121" s="1675"/>
      <c r="K121" s="1675"/>
      <c r="L121" s="1675"/>
      <c r="M121" s="1676"/>
      <c r="N121" s="1676"/>
      <c r="O121" s="1676"/>
      <c r="P121" s="1675"/>
      <c r="Q121" s="1675"/>
      <c r="R121" s="1675"/>
      <c r="S121" s="1675"/>
      <c r="T121" s="1675"/>
      <c r="U121" s="1675"/>
      <c r="V121" s="1675"/>
      <c r="W121" s="1675"/>
      <c r="X121" s="1675"/>
      <c r="Y121" s="1675"/>
      <c r="Z121" s="1675"/>
      <c r="AA121" s="1675"/>
    </row>
    <row r="122" spans="1:27" ht="13.5" customHeight="1" x14ac:dyDescent="0.3">
      <c r="A122" s="1690"/>
      <c r="B122" s="1702" t="s">
        <v>2058</v>
      </c>
      <c r="C122" s="1696" t="s">
        <v>2013</v>
      </c>
      <c r="D122" s="1693"/>
      <c r="E122" s="1697"/>
      <c r="F122" s="1693"/>
      <c r="G122" s="1674"/>
      <c r="H122" s="1674"/>
      <c r="I122" s="1675"/>
      <c r="J122" s="1675"/>
      <c r="K122" s="1675"/>
      <c r="L122" s="1675"/>
      <c r="M122" s="1676"/>
      <c r="N122" s="1676"/>
      <c r="O122" s="1676"/>
      <c r="P122" s="1675"/>
      <c r="Q122" s="1675"/>
      <c r="R122" s="1675"/>
      <c r="S122" s="1675"/>
      <c r="T122" s="1675"/>
      <c r="U122" s="1675"/>
      <c r="V122" s="1675"/>
      <c r="W122" s="1675"/>
      <c r="X122" s="1675"/>
      <c r="Y122" s="1675"/>
      <c r="Z122" s="1675"/>
      <c r="AA122" s="1675"/>
    </row>
    <row r="123" spans="1:27" ht="13.5" customHeight="1" x14ac:dyDescent="0.3">
      <c r="A123" s="1690"/>
      <c r="B123" s="1702" t="s">
        <v>2059</v>
      </c>
      <c r="C123" s="1696" t="s">
        <v>2013</v>
      </c>
      <c r="D123" s="1693"/>
      <c r="E123" s="1697"/>
      <c r="F123" s="1693"/>
      <c r="G123" s="1674"/>
      <c r="H123" s="1674"/>
      <c r="I123" s="1675"/>
      <c r="J123" s="1675"/>
      <c r="K123" s="1675"/>
      <c r="L123" s="1675"/>
      <c r="M123" s="1676"/>
      <c r="N123" s="1676"/>
      <c r="O123" s="1676"/>
      <c r="P123" s="1675"/>
      <c r="Q123" s="1675"/>
      <c r="R123" s="1675"/>
      <c r="S123" s="1675"/>
      <c r="T123" s="1675"/>
      <c r="U123" s="1675"/>
      <c r="V123" s="1675"/>
      <c r="W123" s="1675"/>
      <c r="X123" s="1675"/>
      <c r="Y123" s="1675"/>
      <c r="Z123" s="1675"/>
      <c r="AA123" s="1675"/>
    </row>
    <row r="124" spans="1:27" ht="13.5" customHeight="1" x14ac:dyDescent="0.3">
      <c r="A124" s="1690"/>
      <c r="B124" s="1702" t="s">
        <v>2060</v>
      </c>
      <c r="C124" s="1696" t="s">
        <v>2013</v>
      </c>
      <c r="D124" s="1693"/>
      <c r="E124" s="1697"/>
      <c r="F124" s="1693"/>
      <c r="G124" s="1674"/>
      <c r="H124" s="1674"/>
      <c r="I124" s="1675"/>
      <c r="J124" s="1675"/>
      <c r="K124" s="1675"/>
      <c r="L124" s="1675"/>
      <c r="M124" s="1676"/>
      <c r="N124" s="1676"/>
      <c r="O124" s="1676"/>
      <c r="P124" s="1675"/>
      <c r="Q124" s="1675"/>
      <c r="R124" s="1675"/>
      <c r="S124" s="1675"/>
      <c r="T124" s="1675"/>
      <c r="U124" s="1675"/>
      <c r="V124" s="1675"/>
      <c r="W124" s="1675"/>
      <c r="X124" s="1675"/>
      <c r="Y124" s="1675"/>
      <c r="Z124" s="1675"/>
      <c r="AA124" s="1675"/>
    </row>
    <row r="125" spans="1:27" ht="13.5" customHeight="1" x14ac:dyDescent="0.3">
      <c r="A125" s="1690"/>
      <c r="B125" s="1702" t="s">
        <v>2061</v>
      </c>
      <c r="C125" s="1696" t="s">
        <v>2013</v>
      </c>
      <c r="D125" s="1693"/>
      <c r="E125" s="1697"/>
      <c r="F125" s="1693"/>
      <c r="G125" s="1674"/>
      <c r="H125" s="1674"/>
      <c r="I125" s="1675"/>
      <c r="J125" s="1675"/>
      <c r="K125" s="1675"/>
      <c r="L125" s="1675"/>
      <c r="M125" s="1676"/>
      <c r="N125" s="1676"/>
      <c r="O125" s="1676"/>
      <c r="P125" s="1675"/>
      <c r="Q125" s="1675"/>
      <c r="R125" s="1675"/>
      <c r="S125" s="1675"/>
      <c r="T125" s="1675"/>
      <c r="U125" s="1675"/>
      <c r="V125" s="1675"/>
      <c r="W125" s="1675"/>
      <c r="X125" s="1675"/>
      <c r="Y125" s="1675"/>
      <c r="Z125" s="1675"/>
      <c r="AA125" s="1675"/>
    </row>
    <row r="126" spans="1:27" ht="13.5" customHeight="1" x14ac:dyDescent="0.3">
      <c r="A126" s="1690"/>
      <c r="B126" s="1702" t="s">
        <v>2062</v>
      </c>
      <c r="C126" s="1696" t="s">
        <v>2013</v>
      </c>
      <c r="D126" s="1693"/>
      <c r="E126" s="1697"/>
      <c r="F126" s="1693"/>
      <c r="G126" s="1674"/>
      <c r="H126" s="1674"/>
      <c r="I126" s="1675"/>
      <c r="J126" s="1675"/>
      <c r="K126" s="1675"/>
      <c r="L126" s="1675"/>
      <c r="M126" s="1676"/>
      <c r="N126" s="1676"/>
      <c r="O126" s="1676"/>
      <c r="P126" s="1675"/>
      <c r="Q126" s="1675"/>
      <c r="R126" s="1675"/>
      <c r="S126" s="1675"/>
      <c r="T126" s="1675"/>
      <c r="U126" s="1675"/>
      <c r="V126" s="1675"/>
      <c r="W126" s="1675"/>
      <c r="X126" s="1675"/>
      <c r="Y126" s="1675"/>
      <c r="Z126" s="1675"/>
      <c r="AA126" s="1675"/>
    </row>
    <row r="127" spans="1:27" ht="13.5" customHeight="1" x14ac:dyDescent="0.3">
      <c r="A127" s="1690"/>
      <c r="B127" s="1702" t="s">
        <v>2063</v>
      </c>
      <c r="C127" s="1696" t="s">
        <v>2013</v>
      </c>
      <c r="D127" s="1693"/>
      <c r="E127" s="1697"/>
      <c r="F127" s="1693"/>
      <c r="G127" s="1674"/>
      <c r="H127" s="1674"/>
      <c r="I127" s="1675"/>
      <c r="J127" s="1675"/>
      <c r="K127" s="1675"/>
      <c r="L127" s="1675"/>
      <c r="M127" s="1676"/>
      <c r="N127" s="1676"/>
      <c r="O127" s="1676"/>
      <c r="P127" s="1675"/>
      <c r="Q127" s="1675"/>
      <c r="R127" s="1675"/>
      <c r="S127" s="1675"/>
      <c r="T127" s="1675"/>
      <c r="U127" s="1675"/>
      <c r="V127" s="1675"/>
      <c r="W127" s="1675"/>
      <c r="X127" s="1675"/>
      <c r="Y127" s="1675"/>
      <c r="Z127" s="1675"/>
      <c r="AA127" s="1675"/>
    </row>
    <row r="128" spans="1:27" ht="13.5" customHeight="1" x14ac:dyDescent="0.3">
      <c r="A128" s="1690"/>
      <c r="B128" s="1702" t="s">
        <v>2064</v>
      </c>
      <c r="C128" s="1696" t="s">
        <v>2013</v>
      </c>
      <c r="D128" s="1693"/>
      <c r="E128" s="1697">
        <v>2000</v>
      </c>
      <c r="F128" s="1693"/>
      <c r="G128" s="1674"/>
      <c r="H128" s="1674"/>
      <c r="I128" s="1675"/>
      <c r="J128" s="1675"/>
      <c r="K128" s="1675"/>
      <c r="L128" s="1675"/>
      <c r="M128" s="1676"/>
      <c r="N128" s="1676"/>
      <c r="O128" s="1676"/>
      <c r="P128" s="1675"/>
      <c r="Q128" s="1675"/>
      <c r="R128" s="1675"/>
      <c r="S128" s="1675"/>
      <c r="T128" s="1675"/>
      <c r="U128" s="1675"/>
      <c r="V128" s="1675"/>
      <c r="W128" s="1675"/>
      <c r="X128" s="1675"/>
      <c r="Y128" s="1675"/>
      <c r="Z128" s="1675"/>
      <c r="AA128" s="1675"/>
    </row>
    <row r="129" spans="1:27" ht="13.5" customHeight="1" x14ac:dyDescent="0.3">
      <c r="A129" s="1690"/>
      <c r="B129" s="1702" t="s">
        <v>2065</v>
      </c>
      <c r="C129" s="1696" t="s">
        <v>2013</v>
      </c>
      <c r="D129" s="1693"/>
      <c r="E129" s="1697"/>
      <c r="F129" s="1693"/>
      <c r="G129" s="1674"/>
      <c r="H129" s="1674"/>
      <c r="I129" s="1675"/>
      <c r="J129" s="1675"/>
      <c r="K129" s="1675"/>
      <c r="L129" s="1675"/>
      <c r="M129" s="1676"/>
      <c r="N129" s="1676"/>
      <c r="O129" s="1676"/>
      <c r="P129" s="1675"/>
      <c r="Q129" s="1675"/>
      <c r="R129" s="1675"/>
      <c r="S129" s="1675"/>
      <c r="T129" s="1675"/>
      <c r="U129" s="1675"/>
      <c r="V129" s="1675"/>
      <c r="W129" s="1675"/>
      <c r="X129" s="1675"/>
      <c r="Y129" s="1675"/>
      <c r="Z129" s="1675"/>
      <c r="AA129" s="1675"/>
    </row>
    <row r="130" spans="1:27" ht="13.5" customHeight="1" x14ac:dyDescent="0.3">
      <c r="A130" s="1690"/>
      <c r="B130" s="1702" t="s">
        <v>2066</v>
      </c>
      <c r="C130" s="1696" t="s">
        <v>2013</v>
      </c>
      <c r="D130" s="1693"/>
      <c r="E130" s="1697"/>
      <c r="F130" s="1693"/>
      <c r="G130" s="1674"/>
      <c r="H130" s="1674"/>
      <c r="I130" s="1675"/>
      <c r="J130" s="1675"/>
      <c r="K130" s="1675"/>
      <c r="L130" s="1675"/>
      <c r="M130" s="1676"/>
      <c r="N130" s="1676"/>
      <c r="O130" s="1676"/>
      <c r="P130" s="1675"/>
      <c r="Q130" s="1675"/>
      <c r="R130" s="1675"/>
      <c r="S130" s="1675"/>
      <c r="T130" s="1675"/>
      <c r="U130" s="1675"/>
      <c r="V130" s="1675"/>
      <c r="W130" s="1675"/>
      <c r="X130" s="1675"/>
      <c r="Y130" s="1675"/>
      <c r="Z130" s="1675"/>
      <c r="AA130" s="1675"/>
    </row>
    <row r="131" spans="1:27" ht="13.5" customHeight="1" x14ac:dyDescent="0.3">
      <c r="A131" s="1690"/>
      <c r="B131" s="1702" t="s">
        <v>2067</v>
      </c>
      <c r="C131" s="1696" t="s">
        <v>2013</v>
      </c>
      <c r="D131" s="1693"/>
      <c r="E131" s="1697">
        <v>375</v>
      </c>
      <c r="F131" s="1693"/>
      <c r="G131" s="1674"/>
      <c r="H131" s="1674"/>
      <c r="I131" s="1675"/>
      <c r="J131" s="1675"/>
      <c r="K131" s="1675"/>
      <c r="L131" s="1675"/>
      <c r="M131" s="1676"/>
      <c r="N131" s="1676"/>
      <c r="O131" s="1676"/>
      <c r="P131" s="1675"/>
      <c r="Q131" s="1675"/>
      <c r="R131" s="1675"/>
      <c r="S131" s="1675"/>
      <c r="T131" s="1675"/>
      <c r="U131" s="1675"/>
      <c r="V131" s="1675"/>
      <c r="W131" s="1675"/>
      <c r="X131" s="1675"/>
      <c r="Y131" s="1675"/>
      <c r="Z131" s="1675"/>
      <c r="AA131" s="1675"/>
    </row>
    <row r="132" spans="1:27" ht="13.5" customHeight="1" x14ac:dyDescent="0.3">
      <c r="A132" s="1690"/>
      <c r="B132" s="1702" t="s">
        <v>2068</v>
      </c>
      <c r="C132" s="1696" t="s">
        <v>2013</v>
      </c>
      <c r="D132" s="1693"/>
      <c r="E132" s="1697">
        <v>500</v>
      </c>
      <c r="F132" s="1693"/>
      <c r="G132" s="1674"/>
      <c r="H132" s="1674"/>
      <c r="I132" s="1675"/>
      <c r="J132" s="1675"/>
      <c r="K132" s="1675"/>
      <c r="L132" s="1675"/>
      <c r="M132" s="1676"/>
      <c r="N132" s="1676"/>
      <c r="O132" s="1676"/>
      <c r="P132" s="1675"/>
      <c r="Q132" s="1675"/>
      <c r="R132" s="1675"/>
      <c r="S132" s="1675"/>
      <c r="T132" s="1675"/>
      <c r="U132" s="1675"/>
      <c r="V132" s="1675"/>
      <c r="W132" s="1675"/>
      <c r="X132" s="1675"/>
      <c r="Y132" s="1675"/>
      <c r="Z132" s="1675"/>
      <c r="AA132" s="1675"/>
    </row>
    <row r="133" spans="1:27" ht="13.5" customHeight="1" x14ac:dyDescent="0.3">
      <c r="A133" s="1690"/>
      <c r="B133" s="1702" t="s">
        <v>2069</v>
      </c>
      <c r="C133" s="1696" t="s">
        <v>2013</v>
      </c>
      <c r="D133" s="1693"/>
      <c r="E133" s="1697">
        <v>750</v>
      </c>
      <c r="F133" s="1693"/>
      <c r="G133" s="1674"/>
      <c r="H133" s="1674"/>
      <c r="I133" s="1675"/>
      <c r="J133" s="1675"/>
      <c r="K133" s="1675"/>
      <c r="L133" s="1675"/>
      <c r="M133" s="1676"/>
      <c r="N133" s="1676"/>
      <c r="O133" s="1676"/>
      <c r="P133" s="1675"/>
      <c r="Q133" s="1675"/>
      <c r="R133" s="1675"/>
      <c r="S133" s="1675"/>
      <c r="T133" s="1675"/>
      <c r="U133" s="1675"/>
      <c r="V133" s="1675"/>
      <c r="W133" s="1675"/>
      <c r="X133" s="1675"/>
      <c r="Y133" s="1675"/>
      <c r="Z133" s="1675"/>
      <c r="AA133" s="1675"/>
    </row>
    <row r="134" spans="1:27" ht="13.5" customHeight="1" x14ac:dyDescent="0.3">
      <c r="A134" s="1690"/>
      <c r="B134" s="1702" t="s">
        <v>2070</v>
      </c>
      <c r="C134" s="1696" t="s">
        <v>2013</v>
      </c>
      <c r="D134" s="1693"/>
      <c r="E134" s="1697">
        <v>1800</v>
      </c>
      <c r="F134" s="1693"/>
      <c r="G134" s="1674"/>
      <c r="H134" s="1674"/>
      <c r="I134" s="1675"/>
      <c r="J134" s="1675"/>
      <c r="K134" s="1675"/>
      <c r="L134" s="1675"/>
      <c r="M134" s="1676"/>
      <c r="N134" s="1676"/>
      <c r="O134" s="1676"/>
      <c r="P134" s="1675"/>
      <c r="Q134" s="1675"/>
      <c r="R134" s="1675"/>
      <c r="S134" s="1675"/>
      <c r="T134" s="1675"/>
      <c r="U134" s="1675"/>
      <c r="V134" s="1675"/>
      <c r="W134" s="1675"/>
      <c r="X134" s="1675"/>
      <c r="Y134" s="1675"/>
      <c r="Z134" s="1675"/>
      <c r="AA134" s="1675"/>
    </row>
    <row r="135" spans="1:27" s="1701" customFormat="1" ht="13.5" customHeight="1" x14ac:dyDescent="0.3">
      <c r="A135" s="1751"/>
      <c r="B135" s="1752" t="s">
        <v>2071</v>
      </c>
      <c r="C135" s="1723"/>
      <c r="D135" s="1724"/>
      <c r="E135" s="1724">
        <v>600</v>
      </c>
      <c r="F135" s="1724"/>
      <c r="G135" s="1698"/>
      <c r="H135" s="1698"/>
      <c r="I135" s="1699"/>
      <c r="J135" s="1699"/>
      <c r="K135" s="1699"/>
      <c r="L135" s="1675"/>
      <c r="M135" s="1676"/>
      <c r="N135" s="1676"/>
      <c r="O135" s="1676"/>
      <c r="P135" s="1675"/>
      <c r="Q135" s="1699"/>
      <c r="R135" s="1699"/>
      <c r="S135" s="1699"/>
      <c r="T135" s="1699"/>
      <c r="U135" s="1699"/>
      <c r="V135" s="1699"/>
      <c r="W135" s="1699"/>
      <c r="X135" s="1699"/>
      <c r="Y135" s="1699"/>
      <c r="Z135" s="1699"/>
      <c r="AA135" s="1699"/>
    </row>
    <row r="136" spans="1:27" s="1701" customFormat="1" ht="13.5" customHeight="1" x14ac:dyDescent="0.3">
      <c r="A136" s="1751"/>
      <c r="B136" s="1752" t="s">
        <v>2072</v>
      </c>
      <c r="C136" s="1723"/>
      <c r="D136" s="1724"/>
      <c r="E136" s="1724">
        <v>700</v>
      </c>
      <c r="F136" s="1724"/>
      <c r="G136" s="1698"/>
      <c r="H136" s="1698"/>
      <c r="I136" s="1699"/>
      <c r="J136" s="1699"/>
      <c r="K136" s="1699"/>
      <c r="L136" s="1699"/>
      <c r="M136" s="1700"/>
      <c r="N136" s="1700"/>
      <c r="O136" s="1700"/>
      <c r="P136" s="1699"/>
      <c r="Q136" s="1699"/>
      <c r="R136" s="1699"/>
      <c r="S136" s="1699"/>
      <c r="T136" s="1699"/>
      <c r="U136" s="1699"/>
      <c r="V136" s="1699"/>
      <c r="W136" s="1699"/>
      <c r="X136" s="1699"/>
      <c r="Y136" s="1699"/>
      <c r="Z136" s="1699"/>
      <c r="AA136" s="1699"/>
    </row>
    <row r="137" spans="1:27" s="1701" customFormat="1" ht="13.5" customHeight="1" x14ac:dyDescent="0.3">
      <c r="A137" s="1751"/>
      <c r="B137" s="1753" t="s">
        <v>2073</v>
      </c>
      <c r="C137" s="1723" t="s">
        <v>2074</v>
      </c>
      <c r="D137" s="1724"/>
      <c r="E137" s="1724">
        <v>1800</v>
      </c>
      <c r="F137" s="1724"/>
      <c r="G137" s="1698">
        <f t="shared" ref="G137:G154" si="5">E137-D137</f>
        <v>1800</v>
      </c>
      <c r="H137" s="1698"/>
      <c r="I137" s="1699"/>
      <c r="J137" s="1699"/>
      <c r="K137" s="1699"/>
      <c r="L137" s="1699"/>
      <c r="M137" s="1700"/>
      <c r="N137" s="1700"/>
      <c r="O137" s="1700"/>
      <c r="P137" s="1699"/>
      <c r="Q137" s="1699"/>
      <c r="R137" s="1699"/>
      <c r="S137" s="1699"/>
      <c r="T137" s="1699"/>
      <c r="U137" s="1699"/>
      <c r="V137" s="1699"/>
      <c r="W137" s="1699"/>
      <c r="X137" s="1699"/>
      <c r="Y137" s="1699"/>
      <c r="Z137" s="1699"/>
      <c r="AA137" s="1699"/>
    </row>
    <row r="138" spans="1:27" s="1701" customFormat="1" ht="13.5" customHeight="1" x14ac:dyDescent="0.3">
      <c r="A138" s="1751"/>
      <c r="B138" s="1753" t="s">
        <v>2075</v>
      </c>
      <c r="C138" s="1723" t="s">
        <v>2074</v>
      </c>
      <c r="D138" s="1724"/>
      <c r="E138" s="1724">
        <v>280</v>
      </c>
      <c r="F138" s="1724"/>
      <c r="G138" s="1698">
        <f t="shared" si="5"/>
        <v>280</v>
      </c>
      <c r="H138" s="1698"/>
      <c r="I138" s="1699"/>
      <c r="J138" s="1699"/>
      <c r="K138" s="1699"/>
      <c r="L138" s="1699"/>
      <c r="M138" s="1700"/>
      <c r="N138" s="1700"/>
      <c r="O138" s="1700"/>
      <c r="P138" s="1699"/>
      <c r="Q138" s="1699"/>
      <c r="R138" s="1699"/>
      <c r="S138" s="1699"/>
      <c r="T138" s="1699"/>
      <c r="U138" s="1699"/>
      <c r="V138" s="1699"/>
      <c r="W138" s="1699"/>
      <c r="X138" s="1699"/>
      <c r="Y138" s="1699"/>
      <c r="Z138" s="1699"/>
      <c r="AA138" s="1699"/>
    </row>
    <row r="139" spans="1:27" s="1701" customFormat="1" ht="13.5" customHeight="1" x14ac:dyDescent="0.3">
      <c r="A139" s="1751"/>
      <c r="B139" s="1754" t="s">
        <v>2076</v>
      </c>
      <c r="C139" s="1723"/>
      <c r="D139" s="1724"/>
      <c r="E139" s="1724">
        <v>1</v>
      </c>
      <c r="F139" s="1724"/>
      <c r="G139" s="1698">
        <f t="shared" si="5"/>
        <v>1</v>
      </c>
      <c r="H139" s="1698"/>
      <c r="I139" s="1699"/>
      <c r="J139" s="1699"/>
      <c r="K139" s="1699"/>
      <c r="L139" s="1699"/>
      <c r="M139" s="1700"/>
      <c r="N139" s="1700"/>
      <c r="O139" s="1755">
        <f>2300*270</f>
        <v>621000</v>
      </c>
      <c r="P139" s="1699"/>
      <c r="Q139" s="1699"/>
      <c r="R139" s="1699"/>
      <c r="S139" s="1699"/>
      <c r="T139" s="1699"/>
      <c r="U139" s="1699"/>
      <c r="V139" s="1699"/>
      <c r="W139" s="1699"/>
      <c r="X139" s="1699"/>
      <c r="Y139" s="1699"/>
      <c r="Z139" s="1699"/>
      <c r="AA139" s="1699"/>
    </row>
    <row r="140" spans="1:27" ht="13.5" customHeight="1" x14ac:dyDescent="0.3">
      <c r="A140" s="1690"/>
      <c r="B140" s="1756"/>
      <c r="C140" s="1692"/>
      <c r="D140" s="1693"/>
      <c r="E140" s="1693"/>
      <c r="F140" s="1693"/>
      <c r="G140" s="1674"/>
      <c r="H140" s="1674"/>
      <c r="I140" s="1675"/>
      <c r="J140" s="1675"/>
      <c r="K140" s="1675"/>
      <c r="L140" s="1699"/>
      <c r="M140" s="1700"/>
      <c r="N140" s="1700"/>
      <c r="O140" s="1755">
        <f>+O139/1000</f>
        <v>621</v>
      </c>
      <c r="P140" s="1699"/>
      <c r="Q140" s="1675"/>
      <c r="R140" s="1675"/>
      <c r="S140" s="1675"/>
      <c r="T140" s="1675"/>
      <c r="U140" s="1675"/>
      <c r="V140" s="1675"/>
      <c r="W140" s="1675"/>
      <c r="X140" s="1675"/>
      <c r="Y140" s="1675"/>
      <c r="Z140" s="1675"/>
      <c r="AA140" s="1675"/>
    </row>
    <row r="141" spans="1:27" ht="13.5" customHeight="1" x14ac:dyDescent="0.3">
      <c r="A141" s="1690"/>
      <c r="B141" s="1736" t="s">
        <v>2077</v>
      </c>
      <c r="C141" s="1692"/>
      <c r="D141" s="1693"/>
      <c r="E141" s="1693"/>
      <c r="F141" s="1693"/>
      <c r="G141" s="1674">
        <f t="shared" si="5"/>
        <v>0</v>
      </c>
      <c r="H141" s="1674">
        <v>1980</v>
      </c>
      <c r="I141" s="1675"/>
      <c r="J141" s="1675"/>
      <c r="K141" s="1757">
        <f>E141*20</f>
        <v>0</v>
      </c>
      <c r="L141" s="1675"/>
      <c r="M141" s="1676"/>
      <c r="N141" s="1676"/>
      <c r="O141" s="1737"/>
      <c r="P141" s="1675"/>
      <c r="Q141" s="1675"/>
      <c r="R141" s="1675"/>
      <c r="S141" s="1675"/>
      <c r="T141" s="1675"/>
      <c r="U141" s="1675"/>
      <c r="V141" s="1675"/>
      <c r="W141" s="1675"/>
      <c r="X141" s="1675"/>
      <c r="Y141" s="1675"/>
      <c r="Z141" s="1675"/>
      <c r="AA141" s="1675"/>
    </row>
    <row r="142" spans="1:27" s="1709" customFormat="1" ht="13.5" customHeight="1" x14ac:dyDescent="0.3">
      <c r="A142" s="1694"/>
      <c r="B142" s="1702" t="s">
        <v>2078</v>
      </c>
      <c r="C142" s="1696" t="s">
        <v>2017</v>
      </c>
      <c r="D142" s="1697"/>
      <c r="E142" s="1697">
        <v>3080</v>
      </c>
      <c r="F142" s="1697"/>
      <c r="G142" s="1716">
        <f t="shared" si="5"/>
        <v>3080</v>
      </c>
      <c r="H142" s="1716">
        <v>2895</v>
      </c>
      <c r="I142" s="1717"/>
      <c r="J142" s="1717"/>
      <c r="K142" s="1758">
        <f t="shared" ref="K142:K143" si="6">E142*20</f>
        <v>61600</v>
      </c>
      <c r="L142" s="1675"/>
      <c r="M142" s="1676"/>
      <c r="N142" s="1676"/>
      <c r="O142" s="1737">
        <f>+O140*50</f>
        <v>31050</v>
      </c>
      <c r="P142" s="1675"/>
      <c r="Q142" s="1717"/>
      <c r="R142" s="1717"/>
      <c r="S142" s="1717"/>
      <c r="T142" s="1717"/>
      <c r="U142" s="1717"/>
      <c r="V142" s="1717"/>
      <c r="W142" s="1717"/>
      <c r="X142" s="1717"/>
      <c r="Y142" s="1717"/>
      <c r="Z142" s="1717"/>
      <c r="AA142" s="1717"/>
    </row>
    <row r="143" spans="1:27" s="1709" customFormat="1" ht="13.5" customHeight="1" x14ac:dyDescent="0.3">
      <c r="A143" s="1694"/>
      <c r="B143" s="1702" t="s">
        <v>2079</v>
      </c>
      <c r="C143" s="1696" t="s">
        <v>2017</v>
      </c>
      <c r="D143" s="1697"/>
      <c r="E143" s="1697">
        <v>1690</v>
      </c>
      <c r="F143" s="1697"/>
      <c r="G143" s="1716">
        <f t="shared" si="5"/>
        <v>1690</v>
      </c>
      <c r="H143" s="1716">
        <v>5140</v>
      </c>
      <c r="I143" s="1717"/>
      <c r="J143" s="1717"/>
      <c r="K143" s="1758">
        <f t="shared" si="6"/>
        <v>33800</v>
      </c>
      <c r="L143" s="1717"/>
      <c r="M143" s="1718"/>
      <c r="N143" s="1718"/>
      <c r="O143" s="1759"/>
      <c r="P143" s="1717"/>
      <c r="Q143" s="1717"/>
      <c r="R143" s="1717"/>
      <c r="S143" s="1717"/>
      <c r="T143" s="1717"/>
      <c r="U143" s="1717"/>
      <c r="V143" s="1717"/>
      <c r="W143" s="1717"/>
      <c r="X143" s="1717"/>
      <c r="Y143" s="1717"/>
      <c r="Z143" s="1717"/>
      <c r="AA143" s="1717"/>
    </row>
    <row r="144" spans="1:27" s="1701" customFormat="1" ht="13.5" customHeight="1" x14ac:dyDescent="0.3">
      <c r="A144" s="1751"/>
      <c r="B144" s="1752" t="s">
        <v>2080</v>
      </c>
      <c r="C144" s="1723" t="s">
        <v>2017</v>
      </c>
      <c r="D144" s="1724"/>
      <c r="E144" s="1724">
        <v>2890</v>
      </c>
      <c r="F144" s="1724"/>
      <c r="G144" s="1698">
        <f t="shared" si="5"/>
        <v>2890</v>
      </c>
      <c r="H144" s="1698"/>
      <c r="I144" s="1699"/>
      <c r="J144" s="1699"/>
      <c r="K144" s="1699"/>
      <c r="L144" s="1717"/>
      <c r="M144" s="1718"/>
      <c r="N144" s="1718"/>
      <c r="O144" s="1718">
        <v>34000</v>
      </c>
      <c r="P144" s="1717"/>
      <c r="Q144" s="1699"/>
      <c r="R144" s="1699"/>
      <c r="S144" s="1699"/>
      <c r="T144" s="1699"/>
      <c r="U144" s="1699"/>
      <c r="V144" s="1699"/>
      <c r="W144" s="1699"/>
      <c r="X144" s="1699"/>
      <c r="Y144" s="1699"/>
      <c r="Z144" s="1699"/>
      <c r="AA144" s="1699"/>
    </row>
    <row r="145" spans="1:27" s="1709" customFormat="1" ht="13.5" customHeight="1" x14ac:dyDescent="0.3">
      <c r="A145" s="1694"/>
      <c r="B145" s="1702" t="s">
        <v>2081</v>
      </c>
      <c r="C145" s="1696" t="s">
        <v>2017</v>
      </c>
      <c r="D145" s="1697"/>
      <c r="E145" s="1697">
        <v>1555</v>
      </c>
      <c r="F145" s="1697"/>
      <c r="G145" s="1716">
        <f t="shared" si="5"/>
        <v>1555</v>
      </c>
      <c r="H145" s="1716"/>
      <c r="I145" s="1717"/>
      <c r="J145" s="1717"/>
      <c r="K145" s="1717"/>
      <c r="L145" s="1699"/>
      <c r="M145" s="1700"/>
      <c r="N145" s="1700"/>
      <c r="O145" s="1700">
        <v>35000</v>
      </c>
      <c r="P145" s="1699"/>
      <c r="Q145" s="1717"/>
      <c r="R145" s="1717"/>
      <c r="S145" s="1717"/>
      <c r="T145" s="1717"/>
      <c r="U145" s="1717"/>
      <c r="V145" s="1717"/>
      <c r="W145" s="1717"/>
      <c r="X145" s="1717"/>
      <c r="Y145" s="1717"/>
      <c r="Z145" s="1717"/>
      <c r="AA145" s="1717"/>
    </row>
    <row r="146" spans="1:27" s="1709" customFormat="1" ht="13.5" customHeight="1" x14ac:dyDescent="0.3">
      <c r="A146" s="1694"/>
      <c r="B146" s="1702"/>
      <c r="C146" s="1696"/>
      <c r="D146" s="1697"/>
      <c r="E146" s="1697"/>
      <c r="F146" s="1697"/>
      <c r="G146" s="1716"/>
      <c r="H146" s="1716"/>
      <c r="I146" s="1717"/>
      <c r="J146" s="1717"/>
      <c r="K146" s="1717"/>
      <c r="L146" s="1717"/>
      <c r="M146" s="1718"/>
      <c r="N146" s="1718"/>
      <c r="O146" s="1718"/>
      <c r="P146" s="1717"/>
      <c r="Q146" s="1717"/>
      <c r="R146" s="1717"/>
      <c r="S146" s="1717"/>
      <c r="T146" s="1717"/>
      <c r="U146" s="1717"/>
      <c r="V146" s="1717"/>
      <c r="W146" s="1717"/>
      <c r="X146" s="1717"/>
      <c r="Y146" s="1717"/>
      <c r="Z146" s="1717"/>
      <c r="AA146" s="1717"/>
    </row>
    <row r="147" spans="1:27" s="1701" customFormat="1" ht="13.5" customHeight="1" x14ac:dyDescent="0.3">
      <c r="A147" s="1751"/>
      <c r="B147" s="1760" t="s">
        <v>1987</v>
      </c>
      <c r="C147" s="1723" t="s">
        <v>134</v>
      </c>
      <c r="D147" s="1724"/>
      <c r="E147" s="1761">
        <f>1380/20</f>
        <v>69</v>
      </c>
      <c r="F147" s="1724"/>
      <c r="G147" s="1698"/>
      <c r="H147" s="1698"/>
      <c r="I147" s="1699"/>
      <c r="J147" s="1699"/>
      <c r="K147" s="1699"/>
      <c r="L147" s="1717"/>
      <c r="M147" s="1718"/>
      <c r="N147" s="1718"/>
      <c r="O147" s="1718"/>
      <c r="P147" s="1717"/>
      <c r="Q147" s="1699"/>
      <c r="R147" s="1699"/>
      <c r="S147" s="1699"/>
      <c r="T147" s="1699"/>
      <c r="U147" s="1699"/>
      <c r="V147" s="1699"/>
      <c r="W147" s="1699"/>
      <c r="X147" s="1699"/>
      <c r="Y147" s="1699"/>
      <c r="Z147" s="1699"/>
      <c r="AA147" s="1699"/>
    </row>
    <row r="148" spans="1:27" s="1709" customFormat="1" ht="13.5" customHeight="1" x14ac:dyDescent="0.3">
      <c r="A148" s="1694"/>
      <c r="B148" s="1702"/>
      <c r="C148" s="1696"/>
      <c r="D148" s="1697"/>
      <c r="E148" s="1697"/>
      <c r="F148" s="1697"/>
      <c r="G148" s="1716"/>
      <c r="H148" s="1716"/>
      <c r="I148" s="1717"/>
      <c r="J148" s="1717"/>
      <c r="K148" s="1717"/>
      <c r="L148" s="1699"/>
      <c r="M148" s="1700"/>
      <c r="N148" s="1700"/>
      <c r="O148" s="1755"/>
      <c r="P148" s="1699"/>
      <c r="Q148" s="1717"/>
      <c r="R148" s="1717"/>
      <c r="S148" s="1717"/>
      <c r="T148" s="1717"/>
      <c r="U148" s="1717"/>
      <c r="V148" s="1717"/>
      <c r="W148" s="1717"/>
      <c r="X148" s="1717"/>
      <c r="Y148" s="1717"/>
      <c r="Z148" s="1717"/>
      <c r="AA148" s="1717"/>
    </row>
    <row r="149" spans="1:27" s="1701" customFormat="1" ht="13.5" customHeight="1" x14ac:dyDescent="0.3">
      <c r="A149" s="1751"/>
      <c r="B149" s="1753" t="s">
        <v>2082</v>
      </c>
      <c r="C149" s="1761" t="s">
        <v>1974</v>
      </c>
      <c r="D149" s="1724"/>
      <c r="E149" s="1724">
        <v>641.04999999999995</v>
      </c>
      <c r="F149" s="1724"/>
      <c r="G149" s="1698">
        <f>E149-D149</f>
        <v>641.04999999999995</v>
      </c>
      <c r="H149" s="1698">
        <v>2400</v>
      </c>
      <c r="I149" s="1699"/>
      <c r="J149" s="1699"/>
      <c r="K149" s="1699"/>
      <c r="L149" s="1717"/>
      <c r="M149" s="1718"/>
      <c r="N149" s="1718"/>
      <c r="O149" s="1718"/>
      <c r="P149" s="1717"/>
      <c r="Q149" s="1699"/>
      <c r="R149" s="1699"/>
      <c r="S149" s="1699"/>
      <c r="T149" s="1699"/>
      <c r="U149" s="1699"/>
      <c r="V149" s="1699"/>
      <c r="W149" s="1699"/>
      <c r="X149" s="1699"/>
      <c r="Y149" s="1699"/>
      <c r="Z149" s="1699"/>
      <c r="AA149" s="1699"/>
    </row>
    <row r="150" spans="1:27" s="1709" customFormat="1" ht="13.5" customHeight="1" x14ac:dyDescent="0.3">
      <c r="A150" s="1694"/>
      <c r="B150" s="1702"/>
      <c r="C150" s="1696"/>
      <c r="D150" s="1697"/>
      <c r="E150" s="1697"/>
      <c r="F150" s="1697"/>
      <c r="G150" s="1716"/>
      <c r="H150" s="1716"/>
      <c r="I150" s="1717"/>
      <c r="J150" s="1717"/>
      <c r="K150" s="1717"/>
      <c r="L150" s="1699"/>
      <c r="M150" s="1700"/>
      <c r="N150" s="1700"/>
      <c r="O150" s="1700"/>
      <c r="P150" s="1699"/>
      <c r="Q150" s="1717"/>
      <c r="R150" s="1717"/>
      <c r="S150" s="1717"/>
      <c r="T150" s="1717"/>
      <c r="U150" s="1717"/>
      <c r="V150" s="1717"/>
      <c r="W150" s="1717"/>
      <c r="X150" s="1717"/>
      <c r="Y150" s="1717"/>
      <c r="Z150" s="1717"/>
      <c r="AA150" s="1717"/>
    </row>
    <row r="151" spans="1:27" s="1709" customFormat="1" ht="13.5" customHeight="1" x14ac:dyDescent="0.3">
      <c r="A151" s="1694"/>
      <c r="B151" s="1702" t="s">
        <v>2083</v>
      </c>
      <c r="C151" s="1696"/>
      <c r="D151" s="1697"/>
      <c r="E151" s="1697"/>
      <c r="F151" s="1697"/>
      <c r="G151" s="1716"/>
      <c r="H151" s="1716"/>
      <c r="I151" s="1717"/>
      <c r="J151" s="1717"/>
      <c r="K151" s="1717"/>
      <c r="L151" s="1717"/>
      <c r="M151" s="1718"/>
      <c r="N151" s="1718"/>
      <c r="O151" s="1718"/>
      <c r="P151" s="1717"/>
      <c r="Q151" s="1717"/>
      <c r="R151" s="1717"/>
      <c r="S151" s="1717"/>
      <c r="T151" s="1717"/>
      <c r="U151" s="1717"/>
      <c r="V151" s="1717"/>
      <c r="W151" s="1717"/>
      <c r="X151" s="1717"/>
      <c r="Y151" s="1717"/>
      <c r="Z151" s="1717"/>
      <c r="AA151" s="1717"/>
    </row>
    <row r="152" spans="1:27" s="1709" customFormat="1" ht="13.5" customHeight="1" x14ac:dyDescent="0.3">
      <c r="A152" s="1694"/>
      <c r="B152" s="1702"/>
      <c r="C152" s="1696"/>
      <c r="D152" s="1697"/>
      <c r="E152" s="1697"/>
      <c r="F152" s="1697"/>
      <c r="G152" s="1716"/>
      <c r="H152" s="1716"/>
      <c r="I152" s="1717"/>
      <c r="J152" s="1717"/>
      <c r="K152" s="1717"/>
      <c r="L152" s="1717"/>
      <c r="M152" s="1718"/>
      <c r="N152" s="1718"/>
      <c r="O152" s="1718"/>
      <c r="P152" s="1717"/>
      <c r="Q152" s="1717"/>
      <c r="R152" s="1717"/>
      <c r="S152" s="1717"/>
      <c r="T152" s="1717"/>
      <c r="U152" s="1717"/>
      <c r="V152" s="1717"/>
      <c r="W152" s="1717"/>
      <c r="X152" s="1717"/>
      <c r="Y152" s="1717"/>
      <c r="Z152" s="1717"/>
      <c r="AA152" s="1717"/>
    </row>
    <row r="153" spans="1:27" s="1709" customFormat="1" ht="13.5" customHeight="1" x14ac:dyDescent="0.3">
      <c r="A153" s="1694"/>
      <c r="B153" s="1702" t="s">
        <v>2084</v>
      </c>
      <c r="C153" s="1696" t="s">
        <v>2017</v>
      </c>
      <c r="D153" s="1697"/>
      <c r="E153" s="1697">
        <v>4090</v>
      </c>
      <c r="F153" s="1697"/>
      <c r="G153" s="1716">
        <f t="shared" si="5"/>
        <v>4090</v>
      </c>
      <c r="H153" s="1716"/>
      <c r="I153" s="1717"/>
      <c r="J153" s="1717"/>
      <c r="K153" s="1717"/>
      <c r="L153" s="1717"/>
      <c r="M153" s="1718"/>
      <c r="N153" s="1718"/>
      <c r="O153" s="1718"/>
      <c r="P153" s="1717"/>
      <c r="Q153" s="1717"/>
      <c r="R153" s="1717"/>
      <c r="S153" s="1717"/>
      <c r="T153" s="1717"/>
      <c r="U153" s="1717"/>
      <c r="V153" s="1717"/>
      <c r="W153" s="1717"/>
      <c r="X153" s="1717"/>
      <c r="Y153" s="1717"/>
      <c r="Z153" s="1717"/>
      <c r="AA153" s="1717"/>
    </row>
    <row r="154" spans="1:27" s="1701" customFormat="1" ht="13.5" customHeight="1" x14ac:dyDescent="0.3">
      <c r="A154" s="1751"/>
      <c r="B154" s="1752" t="s">
        <v>2085</v>
      </c>
      <c r="C154" s="1723" t="s">
        <v>2017</v>
      </c>
      <c r="D154" s="1724"/>
      <c r="E154" s="1724">
        <v>2370.1999999999998</v>
      </c>
      <c r="F154" s="1724"/>
      <c r="G154" s="1698">
        <f t="shared" si="5"/>
        <v>2370.1999999999998</v>
      </c>
      <c r="H154" s="1698"/>
      <c r="I154" s="1699"/>
      <c r="J154" s="1699"/>
      <c r="K154" s="1699"/>
      <c r="L154" s="1717"/>
      <c r="M154" s="1718"/>
      <c r="N154" s="1718"/>
      <c r="O154" s="1759">
        <v>2080</v>
      </c>
      <c r="P154" s="1717"/>
      <c r="Q154" s="1699"/>
      <c r="R154" s="1699"/>
      <c r="S154" s="1699"/>
      <c r="T154" s="1699"/>
      <c r="U154" s="1699"/>
      <c r="V154" s="1699"/>
      <c r="W154" s="1699"/>
      <c r="X154" s="1699"/>
      <c r="Y154" s="1699"/>
      <c r="Z154" s="1699"/>
      <c r="AA154" s="1699"/>
    </row>
    <row r="155" spans="1:27" s="1701" customFormat="1" ht="13.5" customHeight="1" x14ac:dyDescent="0.3">
      <c r="A155" s="1751"/>
      <c r="B155" s="1752" t="s">
        <v>2086</v>
      </c>
      <c r="C155" s="1723" t="s">
        <v>2017</v>
      </c>
      <c r="D155" s="1724"/>
      <c r="E155" s="1724">
        <v>2929.15</v>
      </c>
      <c r="F155" s="1724"/>
      <c r="G155" s="1698"/>
      <c r="H155" s="1698"/>
      <c r="I155" s="1699"/>
      <c r="J155" s="1699"/>
      <c r="K155" s="1699"/>
      <c r="L155" s="1699"/>
      <c r="M155" s="1700"/>
      <c r="N155" s="1700"/>
      <c r="O155" s="1755">
        <v>3</v>
      </c>
      <c r="P155" s="1699">
        <f>N155*O155</f>
        <v>0</v>
      </c>
      <c r="Q155" s="1699"/>
      <c r="R155" s="1699"/>
      <c r="S155" s="1699"/>
      <c r="T155" s="1699"/>
      <c r="U155" s="1699"/>
      <c r="V155" s="1699"/>
      <c r="W155" s="1699"/>
      <c r="X155" s="1699"/>
      <c r="Y155" s="1699"/>
      <c r="Z155" s="1699"/>
      <c r="AA155" s="1699"/>
    </row>
    <row r="156" spans="1:27" s="1709" customFormat="1" ht="13.5" customHeight="1" x14ac:dyDescent="0.3">
      <c r="A156" s="1694"/>
      <c r="B156" s="1702" t="s">
        <v>2087</v>
      </c>
      <c r="C156" s="1696" t="s">
        <v>2017</v>
      </c>
      <c r="D156" s="1697"/>
      <c r="E156" s="1697">
        <v>1880</v>
      </c>
      <c r="F156" s="1697"/>
      <c r="G156" s="1716"/>
      <c r="H156" s="1716"/>
      <c r="I156" s="1717"/>
      <c r="J156" s="1717"/>
      <c r="K156" s="1717"/>
      <c r="L156" s="1699"/>
      <c r="M156" s="1700"/>
      <c r="N156" s="1700"/>
      <c r="O156" s="1755"/>
      <c r="P156" s="1699"/>
      <c r="Q156" s="1717"/>
      <c r="R156" s="1717"/>
      <c r="S156" s="1717"/>
      <c r="T156" s="1717"/>
      <c r="U156" s="1717"/>
      <c r="V156" s="1717"/>
      <c r="W156" s="1717"/>
      <c r="X156" s="1717"/>
      <c r="Y156" s="1717"/>
      <c r="Z156" s="1717"/>
      <c r="AA156" s="1717"/>
    </row>
    <row r="157" spans="1:27" s="1709" customFormat="1" ht="13.5" customHeight="1" x14ac:dyDescent="0.3">
      <c r="A157" s="1694"/>
      <c r="B157" s="1762"/>
      <c r="D157" s="1763"/>
      <c r="F157" s="1697"/>
      <c r="G157" s="1716"/>
      <c r="H157" s="1716"/>
      <c r="I157" s="1717"/>
      <c r="J157" s="1717"/>
      <c r="K157" s="1717"/>
      <c r="L157" s="1717"/>
      <c r="M157" s="1718"/>
      <c r="N157" s="1718"/>
      <c r="O157" s="1759"/>
      <c r="P157" s="1717"/>
      <c r="Q157" s="1717"/>
      <c r="R157" s="1717"/>
      <c r="S157" s="1717"/>
      <c r="T157" s="1717"/>
      <c r="U157" s="1717"/>
      <c r="V157" s="1717"/>
      <c r="W157" s="1717"/>
      <c r="X157" s="1717"/>
      <c r="Y157" s="1717"/>
      <c r="Z157" s="1717"/>
      <c r="AA157" s="1717"/>
    </row>
    <row r="158" spans="1:27" s="1701" customFormat="1" ht="15" customHeight="1" x14ac:dyDescent="0.3">
      <c r="A158" s="1764"/>
      <c r="B158" s="1701" t="s">
        <v>1975</v>
      </c>
      <c r="C158" s="1723" t="s">
        <v>2088</v>
      </c>
      <c r="D158" s="1724"/>
      <c r="E158" s="1724">
        <v>345</v>
      </c>
      <c r="L158" s="1717"/>
      <c r="M158" s="1718"/>
      <c r="N158" s="1718"/>
      <c r="O158" s="1759"/>
      <c r="P158" s="1717"/>
    </row>
    <row r="159" spans="1:27" ht="15" customHeight="1" x14ac:dyDescent="0.3">
      <c r="A159" s="1765"/>
      <c r="B159" s="1765"/>
      <c r="D159" s="1766"/>
      <c r="E159" s="1767"/>
      <c r="L159" s="1701"/>
      <c r="M159" s="1768"/>
      <c r="N159" s="1768"/>
      <c r="O159" s="1768"/>
      <c r="P159" s="1701"/>
    </row>
    <row r="160" spans="1:27" ht="13.5" customHeight="1" x14ac:dyDescent="0.3">
      <c r="A160" s="1690"/>
      <c r="B160" s="1702" t="s">
        <v>2089</v>
      </c>
      <c r="C160" s="1696" t="s">
        <v>2017</v>
      </c>
      <c r="D160" s="1697"/>
      <c r="E160" s="1697">
        <v>635</v>
      </c>
      <c r="F160" s="1693"/>
      <c r="G160" s="1674"/>
      <c r="H160" s="1674"/>
      <c r="I160" s="1675"/>
      <c r="J160" s="1675"/>
      <c r="K160" s="1675"/>
      <c r="Q160" s="1675"/>
      <c r="R160" s="1675"/>
      <c r="S160" s="1675"/>
      <c r="T160" s="1675"/>
      <c r="U160" s="1675"/>
      <c r="V160" s="1675"/>
      <c r="W160" s="1675"/>
      <c r="X160" s="1675"/>
      <c r="Y160" s="1675"/>
      <c r="Z160" s="1675"/>
      <c r="AA160" s="1675"/>
    </row>
    <row r="161" spans="1:27" s="1701" customFormat="1" ht="13.5" customHeight="1" x14ac:dyDescent="0.3">
      <c r="A161" s="1751"/>
      <c r="B161" s="1753" t="s">
        <v>2090</v>
      </c>
      <c r="C161" s="1761" t="s">
        <v>981</v>
      </c>
      <c r="D161" s="1724"/>
      <c r="E161" s="1724">
        <v>1600</v>
      </c>
      <c r="F161" s="1724"/>
      <c r="G161" s="1698">
        <f t="shared" ref="G161:G163" si="7">E161-D161</f>
        <v>1600</v>
      </c>
      <c r="H161" s="1698">
        <v>5600</v>
      </c>
      <c r="I161" s="1699" t="s">
        <v>2091</v>
      </c>
      <c r="J161" s="1699"/>
      <c r="K161" s="1699"/>
      <c r="L161" s="1675"/>
      <c r="M161" s="1676"/>
      <c r="N161" s="1676"/>
      <c r="O161" s="1737"/>
      <c r="P161" s="1675"/>
      <c r="Q161" s="1699"/>
      <c r="R161" s="1699"/>
      <c r="S161" s="1699"/>
      <c r="T161" s="1699"/>
      <c r="U161" s="1699"/>
      <c r="V161" s="1699"/>
      <c r="W161" s="1699"/>
      <c r="X161" s="1699"/>
      <c r="Y161" s="1699"/>
      <c r="Z161" s="1699"/>
      <c r="AA161" s="1699"/>
    </row>
    <row r="162" spans="1:27" s="1701" customFormat="1" ht="13.5" customHeight="1" x14ac:dyDescent="0.3">
      <c r="A162" s="1751"/>
      <c r="B162" s="1754" t="s">
        <v>1988</v>
      </c>
      <c r="C162" s="1761" t="s">
        <v>981</v>
      </c>
      <c r="D162" s="1724"/>
      <c r="E162" s="1724">
        <v>260</v>
      </c>
      <c r="F162" s="1724"/>
      <c r="G162" s="1698">
        <f t="shared" si="7"/>
        <v>260</v>
      </c>
      <c r="H162" s="1698">
        <v>15550</v>
      </c>
      <c r="I162" s="1699"/>
      <c r="J162" s="1699"/>
      <c r="K162" s="1699"/>
      <c r="L162" s="1699"/>
      <c r="M162" s="1700"/>
      <c r="N162" s="1700"/>
      <c r="O162" s="1700"/>
      <c r="P162" s="1699"/>
      <c r="Q162" s="1699"/>
      <c r="R162" s="1699"/>
      <c r="S162" s="1699"/>
      <c r="T162" s="1699"/>
      <c r="U162" s="1699"/>
      <c r="V162" s="1699"/>
      <c r="W162" s="1699"/>
      <c r="X162" s="1699"/>
      <c r="Y162" s="1699"/>
      <c r="Z162" s="1699"/>
      <c r="AA162" s="1699"/>
    </row>
    <row r="163" spans="1:27" ht="13.5" customHeight="1" x14ac:dyDescent="0.3">
      <c r="A163" s="1690"/>
      <c r="B163" s="1770"/>
      <c r="C163" s="1692"/>
      <c r="D163" s="1693"/>
      <c r="E163" s="1693"/>
      <c r="F163" s="1693"/>
      <c r="G163" s="1674">
        <f t="shared" si="7"/>
        <v>0</v>
      </c>
      <c r="H163" s="1674">
        <v>14000</v>
      </c>
      <c r="I163" s="1675"/>
      <c r="J163" s="1675"/>
      <c r="K163" s="1675"/>
      <c r="L163" s="1699"/>
      <c r="M163" s="1700"/>
      <c r="N163" s="1700"/>
      <c r="O163" s="1700"/>
      <c r="P163" s="1699"/>
      <c r="Q163" s="1675"/>
      <c r="R163" s="1675"/>
      <c r="S163" s="1675"/>
      <c r="T163" s="1675"/>
      <c r="U163" s="1675"/>
      <c r="V163" s="1675"/>
      <c r="W163" s="1675"/>
      <c r="X163" s="1675"/>
      <c r="Y163" s="1675"/>
      <c r="Z163" s="1675"/>
      <c r="AA163" s="1675"/>
    </row>
    <row r="164" spans="1:27" ht="13.5" customHeight="1" x14ac:dyDescent="0.3">
      <c r="A164" s="1675"/>
      <c r="B164" s="1675"/>
      <c r="C164" s="1678"/>
      <c r="D164" s="1771"/>
      <c r="E164" s="1771"/>
      <c r="F164" s="1771"/>
      <c r="G164" s="1689"/>
      <c r="H164" s="1674"/>
      <c r="I164" s="1675"/>
      <c r="J164" s="1675"/>
      <c r="K164" s="1675"/>
      <c r="L164" s="1675"/>
      <c r="M164" s="1676"/>
      <c r="N164" s="1676"/>
      <c r="O164" s="1676"/>
      <c r="P164" s="1675"/>
      <c r="Q164" s="1675"/>
      <c r="R164" s="1675"/>
      <c r="S164" s="1675"/>
      <c r="T164" s="1675"/>
      <c r="U164" s="1675"/>
      <c r="V164" s="1675"/>
      <c r="W164" s="1675"/>
      <c r="X164" s="1675"/>
      <c r="Y164" s="1675"/>
      <c r="Z164" s="1675"/>
      <c r="AA164" s="1675"/>
    </row>
    <row r="165" spans="1:27" ht="13.5" customHeight="1" x14ac:dyDescent="0.3">
      <c r="A165" s="1675"/>
      <c r="B165" s="1675"/>
      <c r="C165" s="1678"/>
      <c r="D165" s="1771"/>
      <c r="E165" s="1771"/>
      <c r="F165" s="1771"/>
      <c r="G165" s="1689"/>
      <c r="H165" s="1674"/>
      <c r="I165" s="1675"/>
      <c r="J165" s="1675"/>
      <c r="K165" s="1675"/>
      <c r="L165" s="1675"/>
      <c r="M165" s="1676"/>
      <c r="N165" s="1676"/>
      <c r="O165" s="1676"/>
      <c r="P165" s="1675"/>
      <c r="Q165" s="1675"/>
      <c r="R165" s="1675"/>
      <c r="S165" s="1675"/>
      <c r="T165" s="1675"/>
      <c r="U165" s="1675"/>
      <c r="V165" s="1675"/>
      <c r="W165" s="1675"/>
      <c r="X165" s="1675"/>
      <c r="Y165" s="1675"/>
      <c r="Z165" s="1675"/>
      <c r="AA165" s="1675"/>
    </row>
    <row r="166" spans="1:27" ht="13.5" customHeight="1" x14ac:dyDescent="0.3">
      <c r="A166" s="1675"/>
      <c r="B166" s="1675"/>
      <c r="C166" s="1678"/>
      <c r="D166" s="1771"/>
      <c r="E166" s="1771"/>
      <c r="F166" s="1771"/>
      <c r="G166" s="1689"/>
      <c r="H166" s="1674"/>
      <c r="I166" s="1675"/>
      <c r="J166" s="1675"/>
      <c r="K166" s="1675"/>
      <c r="L166" s="1675"/>
      <c r="M166" s="1676"/>
      <c r="N166" s="1676"/>
      <c r="O166" s="1676"/>
      <c r="P166" s="1675"/>
      <c r="Q166" s="1675"/>
      <c r="R166" s="1675"/>
      <c r="S166" s="1675"/>
      <c r="T166" s="1675"/>
      <c r="U166" s="1675"/>
      <c r="V166" s="1675"/>
      <c r="W166" s="1675"/>
      <c r="X166" s="1675"/>
      <c r="Y166" s="1675"/>
      <c r="Z166" s="1675"/>
      <c r="AA166" s="1675"/>
    </row>
    <row r="167" spans="1:27" ht="13.5" customHeight="1" x14ac:dyDescent="0.3">
      <c r="A167" s="1675"/>
      <c r="B167" s="1675"/>
      <c r="C167" s="1678"/>
      <c r="D167" s="1771"/>
      <c r="E167" s="1771"/>
      <c r="F167" s="1771"/>
      <c r="G167" s="1689"/>
      <c r="H167" s="1674"/>
      <c r="I167" s="1675"/>
      <c r="J167" s="1675"/>
      <c r="K167" s="1675"/>
      <c r="L167" s="1675"/>
      <c r="M167" s="1676"/>
      <c r="N167" s="1676"/>
      <c r="O167" s="1676"/>
      <c r="P167" s="1675"/>
      <c r="Q167" s="1675"/>
      <c r="R167" s="1675"/>
      <c r="S167" s="1675"/>
      <c r="T167" s="1675"/>
      <c r="U167" s="1675"/>
      <c r="V167" s="1675"/>
      <c r="W167" s="1675"/>
      <c r="X167" s="1675"/>
      <c r="Y167" s="1675"/>
      <c r="Z167" s="1675"/>
      <c r="AA167" s="1675"/>
    </row>
    <row r="168" spans="1:27" ht="13.5" customHeight="1" x14ac:dyDescent="0.3">
      <c r="A168" s="1675"/>
      <c r="B168" s="1675"/>
      <c r="C168" s="1678"/>
      <c r="D168" s="1771"/>
      <c r="E168" s="1771"/>
      <c r="F168" s="1771"/>
      <c r="G168" s="1689"/>
      <c r="H168" s="1674"/>
      <c r="I168" s="1675"/>
      <c r="J168" s="1675"/>
      <c r="K168" s="1675"/>
      <c r="L168" s="1675"/>
      <c r="M168" s="1676"/>
      <c r="N168" s="1676"/>
      <c r="O168" s="1676"/>
      <c r="P168" s="1675"/>
      <c r="Q168" s="1675"/>
      <c r="R168" s="1675"/>
      <c r="S168" s="1675"/>
      <c r="T168" s="1675"/>
      <c r="U168" s="1675"/>
      <c r="V168" s="1675"/>
      <c r="W168" s="1675"/>
      <c r="X168" s="1675"/>
      <c r="Y168" s="1675"/>
      <c r="Z168" s="1675"/>
      <c r="AA168" s="1675"/>
    </row>
    <row r="169" spans="1:27" ht="13.5" customHeight="1" x14ac:dyDescent="0.3">
      <c r="A169" s="1675"/>
      <c r="B169" s="1675"/>
      <c r="C169" s="1678"/>
      <c r="D169" s="1771"/>
      <c r="E169" s="1771"/>
      <c r="F169" s="1771"/>
      <c r="G169" s="1689"/>
      <c r="H169" s="1674"/>
      <c r="I169" s="1675"/>
      <c r="J169" s="1675"/>
      <c r="K169" s="1675"/>
      <c r="L169" s="1675"/>
      <c r="M169" s="1676"/>
      <c r="N169" s="1676"/>
      <c r="O169" s="1676"/>
      <c r="P169" s="1675"/>
      <c r="Q169" s="1675"/>
      <c r="R169" s="1675"/>
      <c r="S169" s="1675"/>
      <c r="T169" s="1675"/>
      <c r="U169" s="1675"/>
      <c r="V169" s="1675"/>
      <c r="W169" s="1675"/>
      <c r="X169" s="1675"/>
      <c r="Y169" s="1675"/>
      <c r="Z169" s="1675"/>
      <c r="AA169" s="1675"/>
    </row>
    <row r="170" spans="1:27" ht="13.5" customHeight="1" x14ac:dyDescent="0.3">
      <c r="A170" s="1675"/>
      <c r="B170" s="1675"/>
      <c r="C170" s="1678"/>
      <c r="D170" s="1771"/>
      <c r="E170" s="1771"/>
      <c r="F170" s="1771"/>
      <c r="G170" s="1689"/>
      <c r="H170" s="1674"/>
      <c r="I170" s="1675"/>
      <c r="J170" s="1675"/>
      <c r="K170" s="1675"/>
      <c r="L170" s="1675"/>
      <c r="M170" s="1676"/>
      <c r="N170" s="1676"/>
      <c r="O170" s="1676"/>
      <c r="P170" s="1675"/>
      <c r="Q170" s="1675"/>
      <c r="R170" s="1675"/>
      <c r="S170" s="1675"/>
      <c r="T170" s="1675"/>
      <c r="U170" s="1675"/>
      <c r="V170" s="1675"/>
      <c r="W170" s="1675"/>
      <c r="X170" s="1675"/>
      <c r="Y170" s="1675"/>
      <c r="Z170" s="1675"/>
      <c r="AA170" s="1675"/>
    </row>
    <row r="171" spans="1:27" ht="13.5" customHeight="1" x14ac:dyDescent="0.3">
      <c r="A171" s="1675"/>
      <c r="B171" s="1675"/>
      <c r="C171" s="1678"/>
      <c r="D171" s="1771"/>
      <c r="E171" s="1771"/>
      <c r="F171" s="1771"/>
      <c r="G171" s="1689"/>
      <c r="H171" s="1674"/>
      <c r="I171" s="1675"/>
      <c r="J171" s="1675"/>
      <c r="K171" s="1675"/>
      <c r="L171" s="1675"/>
      <c r="M171" s="1676"/>
      <c r="N171" s="1676"/>
      <c r="O171" s="1676"/>
      <c r="P171" s="1675"/>
      <c r="Q171" s="1675"/>
      <c r="R171" s="1675"/>
      <c r="S171" s="1675"/>
      <c r="T171" s="1675"/>
      <c r="U171" s="1675"/>
      <c r="V171" s="1675"/>
      <c r="W171" s="1675"/>
      <c r="X171" s="1675"/>
      <c r="Y171" s="1675"/>
      <c r="Z171" s="1675"/>
      <c r="AA171" s="1675"/>
    </row>
    <row r="172" spans="1:27" ht="13.5" customHeight="1" x14ac:dyDescent="0.3">
      <c r="A172" s="1675"/>
      <c r="B172" s="1675"/>
      <c r="C172" s="1678"/>
      <c r="D172" s="1771"/>
      <c r="E172" s="1771"/>
      <c r="F172" s="1771"/>
      <c r="G172" s="1689"/>
      <c r="H172" s="1674"/>
      <c r="I172" s="1675"/>
      <c r="J172" s="1675"/>
      <c r="K172" s="1675"/>
      <c r="L172" s="1675"/>
      <c r="M172" s="1676"/>
      <c r="N172" s="1676"/>
      <c r="O172" s="1676"/>
      <c r="P172" s="1675"/>
      <c r="Q172" s="1675"/>
      <c r="R172" s="1675"/>
      <c r="S172" s="1675"/>
      <c r="T172" s="1675"/>
      <c r="U172" s="1675"/>
      <c r="V172" s="1675"/>
      <c r="W172" s="1675"/>
      <c r="X172" s="1675"/>
      <c r="Y172" s="1675"/>
      <c r="Z172" s="1675"/>
      <c r="AA172" s="1675"/>
    </row>
    <row r="173" spans="1:27" ht="13.5" customHeight="1" x14ac:dyDescent="0.3">
      <c r="A173" s="1675"/>
      <c r="B173" s="1675"/>
      <c r="C173" s="1678"/>
      <c r="D173" s="1771"/>
      <c r="E173" s="1771"/>
      <c r="F173" s="1771"/>
      <c r="G173" s="1689"/>
      <c r="H173" s="1674"/>
      <c r="I173" s="1675"/>
      <c r="J173" s="1675"/>
      <c r="K173" s="1675"/>
      <c r="L173" s="1675"/>
      <c r="M173" s="1676"/>
      <c r="N173" s="1676"/>
      <c r="O173" s="1676"/>
      <c r="P173" s="1675"/>
      <c r="Q173" s="1675"/>
      <c r="R173" s="1675"/>
      <c r="S173" s="1675"/>
      <c r="T173" s="1675"/>
      <c r="U173" s="1675"/>
      <c r="V173" s="1675"/>
      <c r="W173" s="1675"/>
      <c r="X173" s="1675"/>
      <c r="Y173" s="1675"/>
      <c r="Z173" s="1675"/>
      <c r="AA173" s="1675"/>
    </row>
    <row r="174" spans="1:27" ht="13.5" customHeight="1" x14ac:dyDescent="0.3">
      <c r="A174" s="1675"/>
      <c r="B174" s="1675"/>
      <c r="C174" s="1678"/>
      <c r="D174" s="1771"/>
      <c r="E174" s="1771"/>
      <c r="F174" s="1771"/>
      <c r="G174" s="1689"/>
      <c r="H174" s="1674"/>
      <c r="I174" s="1675"/>
      <c r="J174" s="1675"/>
      <c r="K174" s="1675"/>
      <c r="L174" s="1675"/>
      <c r="M174" s="1676"/>
      <c r="N174" s="1676"/>
      <c r="O174" s="1676"/>
      <c r="P174" s="1675"/>
      <c r="Q174" s="1675"/>
      <c r="R174" s="1675"/>
      <c r="S174" s="1675"/>
      <c r="T174" s="1675"/>
      <c r="U174" s="1675"/>
      <c r="V174" s="1675"/>
      <c r="W174" s="1675"/>
      <c r="X174" s="1675"/>
      <c r="Y174" s="1675"/>
      <c r="Z174" s="1675"/>
      <c r="AA174" s="1675"/>
    </row>
    <row r="175" spans="1:27" ht="13.5" customHeight="1" x14ac:dyDescent="0.3">
      <c r="A175" s="1675"/>
      <c r="B175" s="1675"/>
      <c r="C175" s="1678"/>
      <c r="D175" s="1771"/>
      <c r="E175" s="1771"/>
      <c r="F175" s="1771"/>
      <c r="G175" s="1689"/>
      <c r="H175" s="1674"/>
      <c r="I175" s="1675"/>
      <c r="J175" s="1675"/>
      <c r="K175" s="1675"/>
      <c r="L175" s="1675"/>
      <c r="M175" s="1676"/>
      <c r="N175" s="1676"/>
      <c r="O175" s="1676"/>
      <c r="P175" s="1675"/>
      <c r="Q175" s="1675"/>
      <c r="R175" s="1675"/>
      <c r="S175" s="1675"/>
      <c r="T175" s="1675"/>
      <c r="U175" s="1675"/>
      <c r="V175" s="1675"/>
      <c r="W175" s="1675"/>
      <c r="X175" s="1675"/>
      <c r="Y175" s="1675"/>
      <c r="Z175" s="1675"/>
      <c r="AA175" s="1675"/>
    </row>
    <row r="176" spans="1:27" ht="13.5" customHeight="1" x14ac:dyDescent="0.3">
      <c r="A176" s="1675"/>
      <c r="B176" s="1675"/>
      <c r="C176" s="1678"/>
      <c r="D176" s="1771"/>
      <c r="E176" s="1771"/>
      <c r="F176" s="1771"/>
      <c r="G176" s="1689"/>
      <c r="H176" s="1674"/>
      <c r="I176" s="1675"/>
      <c r="J176" s="1675"/>
      <c r="K176" s="1675"/>
      <c r="L176" s="1675"/>
      <c r="M176" s="1676"/>
      <c r="N176" s="1676"/>
      <c r="O176" s="1676"/>
      <c r="P176" s="1675"/>
      <c r="Q176" s="1675"/>
      <c r="R176" s="1675"/>
      <c r="S176" s="1675"/>
      <c r="T176" s="1675"/>
      <c r="U176" s="1675"/>
      <c r="V176" s="1675"/>
      <c r="W176" s="1675"/>
      <c r="X176" s="1675"/>
      <c r="Y176" s="1675"/>
      <c r="Z176" s="1675"/>
      <c r="AA176" s="1675"/>
    </row>
    <row r="177" spans="1:27" ht="13.5" customHeight="1" x14ac:dyDescent="0.3">
      <c r="A177" s="1675"/>
      <c r="B177" s="1675"/>
      <c r="C177" s="1678"/>
      <c r="D177" s="1771"/>
      <c r="E177" s="1771"/>
      <c r="F177" s="1771"/>
      <c r="G177" s="1689"/>
      <c r="H177" s="1674"/>
      <c r="I177" s="1675"/>
      <c r="J177" s="1675"/>
      <c r="K177" s="1675"/>
      <c r="L177" s="1675"/>
      <c r="M177" s="1676"/>
      <c r="N177" s="1676"/>
      <c r="O177" s="1676"/>
      <c r="P177" s="1675"/>
      <c r="Q177" s="1675"/>
      <c r="R177" s="1675"/>
      <c r="S177" s="1675"/>
      <c r="T177" s="1675"/>
      <c r="U177" s="1675"/>
      <c r="V177" s="1675"/>
      <c r="W177" s="1675"/>
      <c r="X177" s="1675"/>
      <c r="Y177" s="1675"/>
      <c r="Z177" s="1675"/>
      <c r="AA177" s="1675"/>
    </row>
    <row r="178" spans="1:27" ht="13.5" customHeight="1" x14ac:dyDescent="0.3">
      <c r="A178" s="1675"/>
      <c r="B178" s="1675"/>
      <c r="C178" s="1678"/>
      <c r="D178" s="1771"/>
      <c r="E178" s="1771"/>
      <c r="F178" s="1771"/>
      <c r="G178" s="1689"/>
      <c r="H178" s="1674"/>
      <c r="I178" s="1675"/>
      <c r="J178" s="1675"/>
      <c r="K178" s="1675"/>
      <c r="L178" s="1675"/>
      <c r="M178" s="1676"/>
      <c r="N178" s="1676"/>
      <c r="O178" s="1676"/>
      <c r="P178" s="1675"/>
      <c r="Q178" s="1675"/>
      <c r="R178" s="1675"/>
      <c r="S178" s="1675"/>
      <c r="T178" s="1675"/>
      <c r="U178" s="1675"/>
      <c r="V178" s="1675"/>
      <c r="W178" s="1675"/>
      <c r="X178" s="1675"/>
      <c r="Y178" s="1675"/>
      <c r="Z178" s="1675"/>
      <c r="AA178" s="1675"/>
    </row>
    <row r="179" spans="1:27" ht="13.5" customHeight="1" x14ac:dyDescent="0.3">
      <c r="A179" s="1675"/>
      <c r="B179" s="1675"/>
      <c r="C179" s="1678"/>
      <c r="D179" s="1771"/>
      <c r="E179" s="1771"/>
      <c r="F179" s="1771"/>
      <c r="G179" s="1689"/>
      <c r="H179" s="1674"/>
      <c r="I179" s="1675"/>
      <c r="J179" s="1675"/>
      <c r="K179" s="1675"/>
      <c r="L179" s="1675"/>
      <c r="M179" s="1676"/>
      <c r="N179" s="1676"/>
      <c r="O179" s="1676"/>
      <c r="P179" s="1675"/>
      <c r="Q179" s="1675"/>
      <c r="R179" s="1675"/>
      <c r="S179" s="1675"/>
      <c r="T179" s="1675"/>
      <c r="U179" s="1675"/>
      <c r="V179" s="1675"/>
      <c r="W179" s="1675"/>
      <c r="X179" s="1675"/>
      <c r="Y179" s="1675"/>
      <c r="Z179" s="1675"/>
      <c r="AA179" s="1675"/>
    </row>
    <row r="180" spans="1:27" ht="13.5" customHeight="1" x14ac:dyDescent="0.3">
      <c r="A180" s="1675"/>
      <c r="B180" s="1675"/>
      <c r="C180" s="1678"/>
      <c r="D180" s="1771"/>
      <c r="E180" s="1771"/>
      <c r="F180" s="1771"/>
      <c r="G180" s="1689"/>
      <c r="H180" s="1674"/>
      <c r="I180" s="1675"/>
      <c r="J180" s="1675"/>
      <c r="K180" s="1675"/>
      <c r="L180" s="1675"/>
      <c r="M180" s="1676"/>
      <c r="N180" s="1676"/>
      <c r="O180" s="1676"/>
      <c r="P180" s="1675"/>
      <c r="Q180" s="1675"/>
      <c r="R180" s="1675"/>
      <c r="S180" s="1675"/>
      <c r="T180" s="1675"/>
      <c r="U180" s="1675"/>
      <c r="V180" s="1675"/>
      <c r="W180" s="1675"/>
      <c r="X180" s="1675"/>
      <c r="Y180" s="1675"/>
      <c r="Z180" s="1675"/>
      <c r="AA180" s="1675"/>
    </row>
    <row r="181" spans="1:27" ht="13.5" customHeight="1" x14ac:dyDescent="0.3">
      <c r="A181" s="1675"/>
      <c r="B181" s="1675"/>
      <c r="C181" s="1678"/>
      <c r="D181" s="1771"/>
      <c r="E181" s="1771"/>
      <c r="F181" s="1771"/>
      <c r="G181" s="1689"/>
      <c r="H181" s="1674"/>
      <c r="I181" s="1675"/>
      <c r="J181" s="1675"/>
      <c r="K181" s="1675"/>
      <c r="L181" s="1675"/>
      <c r="M181" s="1676"/>
      <c r="N181" s="1676"/>
      <c r="O181" s="1676"/>
      <c r="P181" s="1675"/>
      <c r="Q181" s="1675"/>
      <c r="R181" s="1675"/>
      <c r="S181" s="1675"/>
      <c r="T181" s="1675"/>
      <c r="U181" s="1675"/>
      <c r="V181" s="1675"/>
      <c r="W181" s="1675"/>
      <c r="X181" s="1675"/>
      <c r="Y181" s="1675"/>
      <c r="Z181" s="1675"/>
      <c r="AA181" s="1675"/>
    </row>
    <row r="182" spans="1:27" ht="13.5" customHeight="1" x14ac:dyDescent="0.3">
      <c r="A182" s="1675"/>
      <c r="B182" s="1675"/>
      <c r="C182" s="1678"/>
      <c r="D182" s="1771"/>
      <c r="E182" s="1771"/>
      <c r="F182" s="1771"/>
      <c r="G182" s="1689"/>
      <c r="H182" s="1674"/>
      <c r="I182" s="1675"/>
      <c r="J182" s="1675"/>
      <c r="K182" s="1675"/>
      <c r="L182" s="1675"/>
      <c r="M182" s="1676"/>
      <c r="N182" s="1676"/>
      <c r="O182" s="1676"/>
      <c r="P182" s="1675"/>
      <c r="Q182" s="1675"/>
      <c r="R182" s="1675"/>
      <c r="S182" s="1675"/>
      <c r="T182" s="1675"/>
      <c r="U182" s="1675"/>
      <c r="V182" s="1675"/>
      <c r="W182" s="1675"/>
      <c r="X182" s="1675"/>
      <c r="Y182" s="1675"/>
      <c r="Z182" s="1675"/>
      <c r="AA182" s="1675"/>
    </row>
    <row r="183" spans="1:27" ht="13.5" customHeight="1" x14ac:dyDescent="0.3">
      <c r="A183" s="1675"/>
      <c r="B183" s="1675"/>
      <c r="C183" s="1678"/>
      <c r="D183" s="1771"/>
      <c r="E183" s="1771"/>
      <c r="F183" s="1771"/>
      <c r="G183" s="1689"/>
      <c r="H183" s="1674"/>
      <c r="I183" s="1675"/>
      <c r="J183" s="1675"/>
      <c r="K183" s="1675"/>
      <c r="L183" s="1675"/>
      <c r="M183" s="1676"/>
      <c r="N183" s="1676"/>
      <c r="O183" s="1676"/>
      <c r="P183" s="1675"/>
      <c r="Q183" s="1675"/>
      <c r="R183" s="1675"/>
      <c r="S183" s="1675"/>
      <c r="T183" s="1675"/>
      <c r="U183" s="1675"/>
      <c r="V183" s="1675"/>
      <c r="W183" s="1675"/>
      <c r="X183" s="1675"/>
      <c r="Y183" s="1675"/>
      <c r="Z183" s="1675"/>
      <c r="AA183" s="1675"/>
    </row>
    <row r="184" spans="1:27" ht="13.5" customHeight="1" x14ac:dyDescent="0.3">
      <c r="A184" s="1675"/>
      <c r="B184" s="1675"/>
      <c r="C184" s="1678"/>
      <c r="D184" s="1771"/>
      <c r="E184" s="1771"/>
      <c r="F184" s="1771"/>
      <c r="G184" s="1689"/>
      <c r="H184" s="1674"/>
      <c r="I184" s="1675"/>
      <c r="J184" s="1675"/>
      <c r="K184" s="1675"/>
      <c r="L184" s="1675"/>
      <c r="M184" s="1676"/>
      <c r="N184" s="1676"/>
      <c r="O184" s="1676"/>
      <c r="P184" s="1675"/>
      <c r="Q184" s="1675"/>
      <c r="R184" s="1675"/>
      <c r="S184" s="1675"/>
      <c r="T184" s="1675"/>
      <c r="U184" s="1675"/>
      <c r="V184" s="1675"/>
      <c r="W184" s="1675"/>
      <c r="X184" s="1675"/>
      <c r="Y184" s="1675"/>
      <c r="Z184" s="1675"/>
      <c r="AA184" s="1675"/>
    </row>
    <row r="185" spans="1:27" ht="13.5" customHeight="1" x14ac:dyDescent="0.3">
      <c r="A185" s="1675"/>
      <c r="B185" s="1675"/>
      <c r="C185" s="1678"/>
      <c r="D185" s="1771"/>
      <c r="E185" s="1771"/>
      <c r="F185" s="1771"/>
      <c r="G185" s="1689"/>
      <c r="H185" s="1674"/>
      <c r="I185" s="1675"/>
      <c r="J185" s="1675"/>
      <c r="K185" s="1675"/>
      <c r="L185" s="1675"/>
      <c r="M185" s="1676"/>
      <c r="N185" s="1676"/>
      <c r="O185" s="1676"/>
      <c r="P185" s="1675"/>
      <c r="Q185" s="1675"/>
      <c r="R185" s="1675"/>
      <c r="S185" s="1675"/>
      <c r="T185" s="1675"/>
      <c r="U185" s="1675"/>
      <c r="V185" s="1675"/>
      <c r="W185" s="1675"/>
      <c r="X185" s="1675"/>
      <c r="Y185" s="1675"/>
      <c r="Z185" s="1675"/>
      <c r="AA185" s="1675"/>
    </row>
    <row r="186" spans="1:27" ht="13.5" customHeight="1" x14ac:dyDescent="0.3">
      <c r="A186" s="1675"/>
      <c r="B186" s="1675"/>
      <c r="C186" s="1678"/>
      <c r="D186" s="1771"/>
      <c r="E186" s="1771"/>
      <c r="F186" s="1771"/>
      <c r="G186" s="1689"/>
      <c r="H186" s="1674"/>
      <c r="I186" s="1675"/>
      <c r="J186" s="1675"/>
      <c r="K186" s="1675"/>
      <c r="L186" s="1675"/>
      <c r="M186" s="1676"/>
      <c r="N186" s="1676"/>
      <c r="O186" s="1676"/>
      <c r="P186" s="1675"/>
      <c r="Q186" s="1675"/>
      <c r="R186" s="1675"/>
      <c r="S186" s="1675"/>
      <c r="T186" s="1675"/>
      <c r="U186" s="1675"/>
      <c r="V186" s="1675"/>
      <c r="W186" s="1675"/>
      <c r="X186" s="1675"/>
      <c r="Y186" s="1675"/>
      <c r="Z186" s="1675"/>
      <c r="AA186" s="1675"/>
    </row>
    <row r="187" spans="1:27" ht="13.5" customHeight="1" x14ac:dyDescent="0.3">
      <c r="A187" s="1675"/>
      <c r="B187" s="1675"/>
      <c r="C187" s="1678"/>
      <c r="D187" s="1771"/>
      <c r="E187" s="1771"/>
      <c r="F187" s="1771"/>
      <c r="G187" s="1689"/>
      <c r="H187" s="1674"/>
      <c r="I187" s="1675"/>
      <c r="J187" s="1675"/>
      <c r="K187" s="1675"/>
      <c r="L187" s="1675"/>
      <c r="M187" s="1676"/>
      <c r="N187" s="1676"/>
      <c r="O187" s="1676"/>
      <c r="P187" s="1675"/>
      <c r="Q187" s="1675"/>
      <c r="R187" s="1675"/>
      <c r="S187" s="1675"/>
      <c r="T187" s="1675"/>
      <c r="U187" s="1675"/>
      <c r="V187" s="1675"/>
      <c r="W187" s="1675"/>
      <c r="X187" s="1675"/>
      <c r="Y187" s="1675"/>
      <c r="Z187" s="1675"/>
      <c r="AA187" s="1675"/>
    </row>
    <row r="188" spans="1:27" ht="13.5" customHeight="1" x14ac:dyDescent="0.3">
      <c r="A188" s="1675"/>
      <c r="B188" s="1675"/>
      <c r="C188" s="1678"/>
      <c r="D188" s="1771"/>
      <c r="E188" s="1771"/>
      <c r="F188" s="1771"/>
      <c r="G188" s="1689"/>
      <c r="H188" s="1674"/>
      <c r="I188" s="1675"/>
      <c r="J188" s="1675"/>
      <c r="K188" s="1675"/>
      <c r="L188" s="1675"/>
      <c r="M188" s="1676"/>
      <c r="N188" s="1676"/>
      <c r="O188" s="1676"/>
      <c r="P188" s="1675"/>
      <c r="Q188" s="1675"/>
      <c r="R188" s="1675"/>
      <c r="S188" s="1675"/>
      <c r="T188" s="1675"/>
      <c r="U188" s="1675"/>
      <c r="V188" s="1675"/>
      <c r="W188" s="1675"/>
      <c r="X188" s="1675"/>
      <c r="Y188" s="1675"/>
      <c r="Z188" s="1675"/>
      <c r="AA188" s="1675"/>
    </row>
    <row r="189" spans="1:27" ht="13.5" customHeight="1" x14ac:dyDescent="0.3">
      <c r="A189" s="1675"/>
      <c r="B189" s="1675"/>
      <c r="C189" s="1678"/>
      <c r="D189" s="1771"/>
      <c r="E189" s="1771"/>
      <c r="F189" s="1771"/>
      <c r="G189" s="1689"/>
      <c r="H189" s="1674"/>
      <c r="I189" s="1675"/>
      <c r="J189" s="1675"/>
      <c r="K189" s="1675"/>
      <c r="L189" s="1675"/>
      <c r="M189" s="1676"/>
      <c r="N189" s="1676"/>
      <c r="O189" s="1676"/>
      <c r="P189" s="1675"/>
      <c r="Q189" s="1675"/>
      <c r="R189" s="1675"/>
      <c r="S189" s="1675"/>
      <c r="T189" s="1675"/>
      <c r="U189" s="1675"/>
      <c r="V189" s="1675"/>
      <c r="W189" s="1675"/>
      <c r="X189" s="1675"/>
      <c r="Y189" s="1675"/>
      <c r="Z189" s="1675"/>
      <c r="AA189" s="1675"/>
    </row>
    <row r="190" spans="1:27" ht="13.5" customHeight="1" x14ac:dyDescent="0.3">
      <c r="A190" s="1675"/>
      <c r="B190" s="1675"/>
      <c r="C190" s="1678"/>
      <c r="D190" s="1771"/>
      <c r="E190" s="1771"/>
      <c r="F190" s="1771"/>
      <c r="G190" s="1689"/>
      <c r="H190" s="1674"/>
      <c r="I190" s="1675"/>
      <c r="J190" s="1675"/>
      <c r="K190" s="1675"/>
      <c r="L190" s="1675"/>
      <c r="M190" s="1676"/>
      <c r="N190" s="1676"/>
      <c r="O190" s="1676"/>
      <c r="P190" s="1675"/>
      <c r="Q190" s="1675"/>
      <c r="R190" s="1675"/>
      <c r="S190" s="1675"/>
      <c r="T190" s="1675"/>
      <c r="U190" s="1675"/>
      <c r="V190" s="1675"/>
      <c r="W190" s="1675"/>
      <c r="X190" s="1675"/>
      <c r="Y190" s="1675"/>
      <c r="Z190" s="1675"/>
      <c r="AA190" s="1675"/>
    </row>
    <row r="191" spans="1:27" ht="13.5" customHeight="1" x14ac:dyDescent="0.3">
      <c r="A191" s="1675"/>
      <c r="B191" s="1675"/>
      <c r="C191" s="1678"/>
      <c r="D191" s="1771"/>
      <c r="E191" s="1771"/>
      <c r="F191" s="1771"/>
      <c r="G191" s="1689"/>
      <c r="H191" s="1674"/>
      <c r="I191" s="1675"/>
      <c r="J191" s="1675"/>
      <c r="K191" s="1675"/>
      <c r="L191" s="1675"/>
      <c r="M191" s="1676"/>
      <c r="N191" s="1676"/>
      <c r="O191" s="1676"/>
      <c r="P191" s="1675"/>
      <c r="Q191" s="1675"/>
      <c r="R191" s="1675"/>
      <c r="S191" s="1675"/>
      <c r="T191" s="1675"/>
      <c r="U191" s="1675"/>
      <c r="V191" s="1675"/>
      <c r="W191" s="1675"/>
      <c r="X191" s="1675"/>
      <c r="Y191" s="1675"/>
      <c r="Z191" s="1675"/>
      <c r="AA191" s="1675"/>
    </row>
    <row r="192" spans="1:27" ht="13.5" customHeight="1" x14ac:dyDescent="0.3">
      <c r="A192" s="1675"/>
      <c r="B192" s="1675"/>
      <c r="C192" s="1678"/>
      <c r="D192" s="1771"/>
      <c r="E192" s="1771"/>
      <c r="F192" s="1771"/>
      <c r="G192" s="1689"/>
      <c r="H192" s="1674"/>
      <c r="I192" s="1675"/>
      <c r="J192" s="1675"/>
      <c r="K192" s="1675"/>
      <c r="L192" s="1675"/>
      <c r="M192" s="1676"/>
      <c r="N192" s="1676"/>
      <c r="O192" s="1676"/>
      <c r="P192" s="1675"/>
      <c r="Q192" s="1675"/>
      <c r="R192" s="1675"/>
      <c r="S192" s="1675"/>
      <c r="T192" s="1675"/>
      <c r="U192" s="1675"/>
      <c r="V192" s="1675"/>
      <c r="W192" s="1675"/>
      <c r="X192" s="1675"/>
      <c r="Y192" s="1675"/>
      <c r="Z192" s="1675"/>
      <c r="AA192" s="1675"/>
    </row>
    <row r="193" spans="1:27" ht="13.5" customHeight="1" x14ac:dyDescent="0.3">
      <c r="A193" s="1675"/>
      <c r="B193" s="1675"/>
      <c r="C193" s="1678"/>
      <c r="D193" s="1771"/>
      <c r="E193" s="1771"/>
      <c r="F193" s="1771"/>
      <c r="G193" s="1689"/>
      <c r="H193" s="1674"/>
      <c r="I193" s="1675"/>
      <c r="J193" s="1675"/>
      <c r="K193" s="1675"/>
      <c r="L193" s="1675"/>
      <c r="M193" s="1676"/>
      <c r="N193" s="1676"/>
      <c r="O193" s="1676"/>
      <c r="P193" s="1675"/>
      <c r="Q193" s="1675"/>
      <c r="R193" s="1675"/>
      <c r="S193" s="1675"/>
      <c r="T193" s="1675"/>
      <c r="U193" s="1675"/>
      <c r="V193" s="1675"/>
      <c r="W193" s="1675"/>
      <c r="X193" s="1675"/>
      <c r="Y193" s="1675"/>
      <c r="Z193" s="1675"/>
      <c r="AA193" s="1675"/>
    </row>
    <row r="194" spans="1:27" ht="13.5" customHeight="1" x14ac:dyDescent="0.3">
      <c r="A194" s="1675"/>
      <c r="B194" s="1675"/>
      <c r="C194" s="1678"/>
      <c r="D194" s="1771"/>
      <c r="E194" s="1771"/>
      <c r="F194" s="1771"/>
      <c r="G194" s="1689"/>
      <c r="H194" s="1674"/>
      <c r="I194" s="1675"/>
      <c r="J194" s="1675"/>
      <c r="K194" s="1675"/>
      <c r="L194" s="1675"/>
      <c r="M194" s="1676"/>
      <c r="N194" s="1676"/>
      <c r="O194" s="1676"/>
      <c r="P194" s="1675"/>
      <c r="Q194" s="1675"/>
      <c r="R194" s="1675"/>
      <c r="S194" s="1675"/>
      <c r="T194" s="1675"/>
      <c r="U194" s="1675"/>
      <c r="V194" s="1675"/>
      <c r="W194" s="1675"/>
      <c r="X194" s="1675"/>
      <c r="Y194" s="1675"/>
      <c r="Z194" s="1675"/>
      <c r="AA194" s="1675"/>
    </row>
    <row r="195" spans="1:27" ht="13.5" customHeight="1" x14ac:dyDescent="0.3">
      <c r="A195" s="1675"/>
      <c r="B195" s="1675"/>
      <c r="C195" s="1678"/>
      <c r="D195" s="1771"/>
      <c r="E195" s="1771"/>
      <c r="F195" s="1771"/>
      <c r="G195" s="1689"/>
      <c r="H195" s="1674"/>
      <c r="I195" s="1675"/>
      <c r="J195" s="1675"/>
      <c r="K195" s="1675"/>
      <c r="L195" s="1675"/>
      <c r="M195" s="1676"/>
      <c r="N195" s="1676"/>
      <c r="O195" s="1676"/>
      <c r="P195" s="1675"/>
      <c r="Q195" s="1675"/>
      <c r="R195" s="1675"/>
      <c r="S195" s="1675"/>
      <c r="T195" s="1675"/>
      <c r="U195" s="1675"/>
      <c r="V195" s="1675"/>
      <c r="W195" s="1675"/>
      <c r="X195" s="1675"/>
      <c r="Y195" s="1675"/>
      <c r="Z195" s="1675"/>
      <c r="AA195" s="1675"/>
    </row>
    <row r="196" spans="1:27" ht="13.5" customHeight="1" x14ac:dyDescent="0.3">
      <c r="A196" s="1675"/>
      <c r="B196" s="1675"/>
      <c r="C196" s="1678"/>
      <c r="D196" s="1771"/>
      <c r="E196" s="1771"/>
      <c r="F196" s="1771"/>
      <c r="G196" s="1689"/>
      <c r="H196" s="1674"/>
      <c r="I196" s="1675"/>
      <c r="J196" s="1675"/>
      <c r="K196" s="1675"/>
      <c r="L196" s="1675"/>
      <c r="M196" s="1676"/>
      <c r="N196" s="1676"/>
      <c r="O196" s="1676"/>
      <c r="P196" s="1675"/>
      <c r="Q196" s="1675"/>
      <c r="R196" s="1675"/>
      <c r="S196" s="1675"/>
      <c r="T196" s="1675"/>
      <c r="U196" s="1675"/>
      <c r="V196" s="1675"/>
      <c r="W196" s="1675"/>
      <c r="X196" s="1675"/>
      <c r="Y196" s="1675"/>
      <c r="Z196" s="1675"/>
      <c r="AA196" s="1675"/>
    </row>
    <row r="197" spans="1:27" ht="13.5" customHeight="1" x14ac:dyDescent="0.3">
      <c r="A197" s="1675"/>
      <c r="B197" s="1675"/>
      <c r="C197" s="1678"/>
      <c r="D197" s="1771"/>
      <c r="E197" s="1771"/>
      <c r="F197" s="1771"/>
      <c r="G197" s="1689"/>
      <c r="H197" s="1674"/>
      <c r="I197" s="1675"/>
      <c r="J197" s="1675"/>
      <c r="K197" s="1675"/>
      <c r="L197" s="1675"/>
      <c r="M197" s="1676"/>
      <c r="N197" s="1676"/>
      <c r="O197" s="1676"/>
      <c r="P197" s="1675"/>
      <c r="Q197" s="1675"/>
      <c r="R197" s="1675"/>
      <c r="S197" s="1675"/>
      <c r="T197" s="1675"/>
      <c r="U197" s="1675"/>
      <c r="V197" s="1675"/>
      <c r="W197" s="1675"/>
      <c r="X197" s="1675"/>
      <c r="Y197" s="1675"/>
      <c r="Z197" s="1675"/>
      <c r="AA197" s="1675"/>
    </row>
    <row r="198" spans="1:27" ht="13.5" customHeight="1" x14ac:dyDescent="0.3">
      <c r="A198" s="1675"/>
      <c r="B198" s="1675"/>
      <c r="C198" s="1678"/>
      <c r="D198" s="1771"/>
      <c r="E198" s="1771"/>
      <c r="F198" s="1771"/>
      <c r="G198" s="1689"/>
      <c r="H198" s="1674"/>
      <c r="I198" s="1675"/>
      <c r="J198" s="1675"/>
      <c r="K198" s="1675"/>
      <c r="L198" s="1675"/>
      <c r="M198" s="1676"/>
      <c r="N198" s="1676"/>
      <c r="O198" s="1676"/>
      <c r="P198" s="1675"/>
      <c r="Q198" s="1675"/>
      <c r="R198" s="1675"/>
      <c r="S198" s="1675"/>
      <c r="T198" s="1675"/>
      <c r="U198" s="1675"/>
      <c r="V198" s="1675"/>
      <c r="W198" s="1675"/>
      <c r="X198" s="1675"/>
      <c r="Y198" s="1675"/>
      <c r="Z198" s="1675"/>
      <c r="AA198" s="1675"/>
    </row>
    <row r="199" spans="1:27" ht="13.5" customHeight="1" x14ac:dyDescent="0.3">
      <c r="A199" s="1675"/>
      <c r="B199" s="1675"/>
      <c r="C199" s="1678"/>
      <c r="D199" s="1771"/>
      <c r="E199" s="1771"/>
      <c r="F199" s="1771"/>
      <c r="G199" s="1689"/>
      <c r="H199" s="1674"/>
      <c r="I199" s="1675"/>
      <c r="J199" s="1675"/>
      <c r="K199" s="1675"/>
      <c r="L199" s="1675"/>
      <c r="M199" s="1676"/>
      <c r="N199" s="1676"/>
      <c r="O199" s="1676"/>
      <c r="P199" s="1675"/>
      <c r="Q199" s="1675"/>
      <c r="R199" s="1675"/>
      <c r="S199" s="1675"/>
      <c r="T199" s="1675"/>
      <c r="U199" s="1675"/>
      <c r="V199" s="1675"/>
      <c r="W199" s="1675"/>
      <c r="X199" s="1675"/>
      <c r="Y199" s="1675"/>
      <c r="Z199" s="1675"/>
      <c r="AA199" s="1675"/>
    </row>
    <row r="200" spans="1:27" ht="13.5" customHeight="1" x14ac:dyDescent="0.3">
      <c r="A200" s="1675"/>
      <c r="B200" s="1675"/>
      <c r="C200" s="1678"/>
      <c r="D200" s="1771"/>
      <c r="E200" s="1771"/>
      <c r="F200" s="1771"/>
      <c r="G200" s="1689"/>
      <c r="H200" s="1674"/>
      <c r="I200" s="1675"/>
      <c r="J200" s="1675"/>
      <c r="K200" s="1675"/>
      <c r="L200" s="1675"/>
      <c r="M200" s="1676"/>
      <c r="N200" s="1676"/>
      <c r="O200" s="1676"/>
      <c r="P200" s="1675"/>
      <c r="Q200" s="1675"/>
      <c r="R200" s="1675"/>
      <c r="S200" s="1675"/>
      <c r="T200" s="1675"/>
      <c r="U200" s="1675"/>
      <c r="V200" s="1675"/>
      <c r="W200" s="1675"/>
      <c r="X200" s="1675"/>
      <c r="Y200" s="1675"/>
      <c r="Z200" s="1675"/>
      <c r="AA200" s="1675"/>
    </row>
    <row r="201" spans="1:27" ht="13.5" customHeight="1" x14ac:dyDescent="0.3">
      <c r="A201" s="1675"/>
      <c r="B201" s="1675"/>
      <c r="C201" s="1678"/>
      <c r="D201" s="1771"/>
      <c r="E201" s="1771"/>
      <c r="F201" s="1771"/>
      <c r="G201" s="1689"/>
      <c r="H201" s="1674"/>
      <c r="I201" s="1675"/>
      <c r="J201" s="1675"/>
      <c r="K201" s="1675"/>
      <c r="L201" s="1675"/>
      <c r="M201" s="1676"/>
      <c r="N201" s="1676"/>
      <c r="O201" s="1676"/>
      <c r="P201" s="1675"/>
      <c r="Q201" s="1675"/>
      <c r="R201" s="1675"/>
      <c r="S201" s="1675"/>
      <c r="T201" s="1675"/>
      <c r="U201" s="1675"/>
      <c r="V201" s="1675"/>
      <c r="W201" s="1675"/>
      <c r="X201" s="1675"/>
      <c r="Y201" s="1675"/>
      <c r="Z201" s="1675"/>
      <c r="AA201" s="1675"/>
    </row>
    <row r="202" spans="1:27" ht="13.5" customHeight="1" x14ac:dyDescent="0.3">
      <c r="A202" s="1675"/>
      <c r="B202" s="1675"/>
      <c r="C202" s="1678"/>
      <c r="D202" s="1771"/>
      <c r="E202" s="1771"/>
      <c r="F202" s="1771"/>
      <c r="G202" s="1689"/>
      <c r="H202" s="1674"/>
      <c r="I202" s="1675"/>
      <c r="J202" s="1675"/>
      <c r="K202" s="1675"/>
      <c r="L202" s="1675"/>
      <c r="M202" s="1676"/>
      <c r="N202" s="1676"/>
      <c r="O202" s="1676"/>
      <c r="P202" s="1675"/>
      <c r="Q202" s="1675"/>
      <c r="R202" s="1675"/>
      <c r="S202" s="1675"/>
      <c r="T202" s="1675"/>
      <c r="U202" s="1675"/>
      <c r="V202" s="1675"/>
      <c r="W202" s="1675"/>
      <c r="X202" s="1675"/>
      <c r="Y202" s="1675"/>
      <c r="Z202" s="1675"/>
      <c r="AA202" s="1675"/>
    </row>
    <row r="203" spans="1:27" ht="13.5" customHeight="1" x14ac:dyDescent="0.3">
      <c r="A203" s="1675"/>
      <c r="B203" s="1675"/>
      <c r="C203" s="1678"/>
      <c r="D203" s="1771"/>
      <c r="E203" s="1771"/>
      <c r="F203" s="1771"/>
      <c r="G203" s="1689"/>
      <c r="H203" s="1674"/>
      <c r="I203" s="1675"/>
      <c r="J203" s="1675"/>
      <c r="K203" s="1675"/>
      <c r="L203" s="1675"/>
      <c r="M203" s="1676"/>
      <c r="N203" s="1676"/>
      <c r="O203" s="1676"/>
      <c r="P203" s="1675"/>
      <c r="Q203" s="1675"/>
      <c r="R203" s="1675"/>
      <c r="S203" s="1675"/>
      <c r="T203" s="1675"/>
      <c r="U203" s="1675"/>
      <c r="V203" s="1675"/>
      <c r="W203" s="1675"/>
      <c r="X203" s="1675"/>
      <c r="Y203" s="1675"/>
      <c r="Z203" s="1675"/>
      <c r="AA203" s="1675"/>
    </row>
    <row r="204" spans="1:27" ht="13.5" customHeight="1" x14ac:dyDescent="0.3">
      <c r="A204" s="1675"/>
      <c r="B204" s="1675"/>
      <c r="C204" s="1678"/>
      <c r="D204" s="1771"/>
      <c r="E204" s="1771"/>
      <c r="F204" s="1771"/>
      <c r="G204" s="1689"/>
      <c r="H204" s="1674"/>
      <c r="I204" s="1675"/>
      <c r="J204" s="1675"/>
      <c r="K204" s="1675"/>
      <c r="L204" s="1675"/>
      <c r="M204" s="1676"/>
      <c r="N204" s="1676"/>
      <c r="O204" s="1676"/>
      <c r="P204" s="1675"/>
      <c r="Q204" s="1675"/>
      <c r="R204" s="1675"/>
      <c r="S204" s="1675"/>
      <c r="T204" s="1675"/>
      <c r="U204" s="1675"/>
      <c r="V204" s="1675"/>
      <c r="W204" s="1675"/>
      <c r="X204" s="1675"/>
      <c r="Y204" s="1675"/>
      <c r="Z204" s="1675"/>
      <c r="AA204" s="1675"/>
    </row>
    <row r="205" spans="1:27" ht="13.5" customHeight="1" x14ac:dyDescent="0.3">
      <c r="A205" s="1675"/>
      <c r="B205" s="1675"/>
      <c r="C205" s="1678"/>
      <c r="D205" s="1771"/>
      <c r="E205" s="1771"/>
      <c r="F205" s="1771"/>
      <c r="G205" s="1689"/>
      <c r="H205" s="1674"/>
      <c r="I205" s="1675"/>
      <c r="J205" s="1675"/>
      <c r="K205" s="1675"/>
      <c r="L205" s="1675"/>
      <c r="M205" s="1676"/>
      <c r="N205" s="1676"/>
      <c r="O205" s="1676"/>
      <c r="P205" s="1675"/>
      <c r="Q205" s="1675"/>
      <c r="R205" s="1675"/>
      <c r="S205" s="1675"/>
      <c r="T205" s="1675"/>
      <c r="U205" s="1675"/>
      <c r="V205" s="1675"/>
      <c r="W205" s="1675"/>
      <c r="X205" s="1675"/>
      <c r="Y205" s="1675"/>
      <c r="Z205" s="1675"/>
      <c r="AA205" s="1675"/>
    </row>
    <row r="206" spans="1:27" ht="13.5" customHeight="1" x14ac:dyDescent="0.3">
      <c r="A206" s="1675"/>
      <c r="B206" s="1675"/>
      <c r="C206" s="1678"/>
      <c r="D206" s="1771"/>
      <c r="E206" s="1771"/>
      <c r="F206" s="1771"/>
      <c r="G206" s="1689"/>
      <c r="H206" s="1674"/>
      <c r="I206" s="1675"/>
      <c r="J206" s="1675"/>
      <c r="K206" s="1675"/>
      <c r="L206" s="1675"/>
      <c r="M206" s="1676"/>
      <c r="N206" s="1676"/>
      <c r="O206" s="1676"/>
      <c r="P206" s="1675"/>
      <c r="Q206" s="1675"/>
      <c r="R206" s="1675"/>
      <c r="S206" s="1675"/>
      <c r="T206" s="1675"/>
      <c r="U206" s="1675"/>
      <c r="V206" s="1675"/>
      <c r="W206" s="1675"/>
      <c r="X206" s="1675"/>
      <c r="Y206" s="1675"/>
      <c r="Z206" s="1675"/>
      <c r="AA206" s="1675"/>
    </row>
    <row r="207" spans="1:27" ht="13.5" customHeight="1" x14ac:dyDescent="0.3">
      <c r="A207" s="1675"/>
      <c r="B207" s="1675"/>
      <c r="C207" s="1678"/>
      <c r="D207" s="1771"/>
      <c r="E207" s="1771"/>
      <c r="F207" s="1771"/>
      <c r="G207" s="1689"/>
      <c r="H207" s="1674"/>
      <c r="I207" s="1675"/>
      <c r="J207" s="1675"/>
      <c r="K207" s="1675"/>
      <c r="L207" s="1675"/>
      <c r="M207" s="1676"/>
      <c r="N207" s="1676"/>
      <c r="O207" s="1676"/>
      <c r="P207" s="1675"/>
      <c r="Q207" s="1675"/>
      <c r="R207" s="1675"/>
      <c r="S207" s="1675"/>
      <c r="T207" s="1675"/>
      <c r="U207" s="1675"/>
      <c r="V207" s="1675"/>
      <c r="W207" s="1675"/>
      <c r="X207" s="1675"/>
      <c r="Y207" s="1675"/>
      <c r="Z207" s="1675"/>
      <c r="AA207" s="1675"/>
    </row>
    <row r="208" spans="1:27" ht="13.5" customHeight="1" x14ac:dyDescent="0.3">
      <c r="A208" s="1675"/>
      <c r="B208" s="1675"/>
      <c r="C208" s="1678"/>
      <c r="D208" s="1771"/>
      <c r="E208" s="1771"/>
      <c r="F208" s="1771"/>
      <c r="G208" s="1689"/>
      <c r="H208" s="1674"/>
      <c r="I208" s="1675"/>
      <c r="J208" s="1675"/>
      <c r="K208" s="1675"/>
      <c r="L208" s="1675"/>
      <c r="M208" s="1676"/>
      <c r="N208" s="1676"/>
      <c r="O208" s="1676"/>
      <c r="P208" s="1675"/>
      <c r="Q208" s="1675"/>
      <c r="R208" s="1675"/>
      <c r="S208" s="1675"/>
      <c r="T208" s="1675"/>
      <c r="U208" s="1675"/>
      <c r="V208" s="1675"/>
      <c r="W208" s="1675"/>
      <c r="X208" s="1675"/>
      <c r="Y208" s="1675"/>
      <c r="Z208" s="1675"/>
      <c r="AA208" s="1675"/>
    </row>
    <row r="209" spans="1:27" ht="13.5" customHeight="1" x14ac:dyDescent="0.3">
      <c r="A209" s="1675"/>
      <c r="B209" s="1675"/>
      <c r="C209" s="1678"/>
      <c r="D209" s="1771"/>
      <c r="E209" s="1771"/>
      <c r="F209" s="1771"/>
      <c r="G209" s="1689"/>
      <c r="H209" s="1674"/>
      <c r="I209" s="1675"/>
      <c r="J209" s="1675"/>
      <c r="K209" s="1675"/>
      <c r="L209" s="1675"/>
      <c r="M209" s="1676"/>
      <c r="N209" s="1676"/>
      <c r="O209" s="1676"/>
      <c r="P209" s="1675"/>
      <c r="Q209" s="1675"/>
      <c r="R209" s="1675"/>
      <c r="S209" s="1675"/>
      <c r="T209" s="1675"/>
      <c r="U209" s="1675"/>
      <c r="V209" s="1675"/>
      <c r="W209" s="1675"/>
      <c r="X209" s="1675"/>
      <c r="Y209" s="1675"/>
      <c r="Z209" s="1675"/>
      <c r="AA209" s="1675"/>
    </row>
    <row r="210" spans="1:27" ht="13.5" customHeight="1" x14ac:dyDescent="0.3">
      <c r="A210" s="1675"/>
      <c r="B210" s="1675"/>
      <c r="C210" s="1678"/>
      <c r="D210" s="1771"/>
      <c r="E210" s="1771"/>
      <c r="F210" s="1771"/>
      <c r="G210" s="1689"/>
      <c r="H210" s="1674"/>
      <c r="I210" s="1675"/>
      <c r="J210" s="1675"/>
      <c r="K210" s="1675"/>
      <c r="L210" s="1675"/>
      <c r="M210" s="1676"/>
      <c r="N210" s="1676"/>
      <c r="O210" s="1676"/>
      <c r="P210" s="1675"/>
      <c r="Q210" s="1675"/>
      <c r="R210" s="1675"/>
      <c r="S210" s="1675"/>
      <c r="T210" s="1675"/>
      <c r="U210" s="1675"/>
      <c r="V210" s="1675"/>
      <c r="W210" s="1675"/>
      <c r="X210" s="1675"/>
      <c r="Y210" s="1675"/>
      <c r="Z210" s="1675"/>
      <c r="AA210" s="1675"/>
    </row>
    <row r="211" spans="1:27" ht="13.5" customHeight="1" x14ac:dyDescent="0.3">
      <c r="A211" s="1675"/>
      <c r="B211" s="1675"/>
      <c r="C211" s="1678"/>
      <c r="D211" s="1771"/>
      <c r="E211" s="1771"/>
      <c r="F211" s="1771"/>
      <c r="G211" s="1689"/>
      <c r="H211" s="1674"/>
      <c r="I211" s="1675"/>
      <c r="J211" s="1675"/>
      <c r="K211" s="1675"/>
      <c r="L211" s="1675"/>
      <c r="M211" s="1676"/>
      <c r="N211" s="1676"/>
      <c r="O211" s="1676"/>
      <c r="P211" s="1675"/>
      <c r="Q211" s="1675"/>
      <c r="R211" s="1675"/>
      <c r="S211" s="1675"/>
      <c r="T211" s="1675"/>
      <c r="U211" s="1675"/>
      <c r="V211" s="1675"/>
      <c r="W211" s="1675"/>
      <c r="X211" s="1675"/>
      <c r="Y211" s="1675"/>
      <c r="Z211" s="1675"/>
      <c r="AA211" s="1675"/>
    </row>
    <row r="212" spans="1:27" ht="13.5" customHeight="1" x14ac:dyDescent="0.3">
      <c r="A212" s="1675"/>
      <c r="B212" s="1675"/>
      <c r="C212" s="1678"/>
      <c r="D212" s="1771"/>
      <c r="E212" s="1771"/>
      <c r="F212" s="1771"/>
      <c r="G212" s="1689"/>
      <c r="H212" s="1674"/>
      <c r="I212" s="1675"/>
      <c r="J212" s="1675"/>
      <c r="K212" s="1675"/>
      <c r="L212" s="1675"/>
      <c r="M212" s="1676"/>
      <c r="N212" s="1676"/>
      <c r="O212" s="1676"/>
      <c r="P212" s="1675"/>
      <c r="Q212" s="1675"/>
      <c r="R212" s="1675"/>
      <c r="S212" s="1675"/>
      <c r="T212" s="1675"/>
      <c r="U212" s="1675"/>
      <c r="V212" s="1675"/>
      <c r="W212" s="1675"/>
      <c r="X212" s="1675"/>
      <c r="Y212" s="1675"/>
      <c r="Z212" s="1675"/>
      <c r="AA212" s="1675"/>
    </row>
    <row r="213" spans="1:27" ht="13.5" customHeight="1" x14ac:dyDescent="0.3">
      <c r="A213" s="1675"/>
      <c r="B213" s="1675"/>
      <c r="C213" s="1678"/>
      <c r="D213" s="1771"/>
      <c r="E213" s="1771"/>
      <c r="F213" s="1771"/>
      <c r="G213" s="1689"/>
      <c r="H213" s="1674"/>
      <c r="I213" s="1675"/>
      <c r="J213" s="1675"/>
      <c r="K213" s="1675"/>
      <c r="L213" s="1675"/>
      <c r="M213" s="1676"/>
      <c r="N213" s="1676"/>
      <c r="O213" s="1676"/>
      <c r="P213" s="1675"/>
      <c r="Q213" s="1675"/>
      <c r="R213" s="1675"/>
      <c r="S213" s="1675"/>
      <c r="T213" s="1675"/>
      <c r="U213" s="1675"/>
      <c r="V213" s="1675"/>
      <c r="W213" s="1675"/>
      <c r="X213" s="1675"/>
      <c r="Y213" s="1675"/>
      <c r="Z213" s="1675"/>
      <c r="AA213" s="1675"/>
    </row>
    <row r="214" spans="1:27" ht="13.5" customHeight="1" x14ac:dyDescent="0.3">
      <c r="A214" s="1675"/>
      <c r="B214" s="1675"/>
      <c r="C214" s="1678"/>
      <c r="D214" s="1771"/>
      <c r="E214" s="1771"/>
      <c r="F214" s="1771"/>
      <c r="G214" s="1689"/>
      <c r="H214" s="1674"/>
      <c r="I214" s="1675"/>
      <c r="J214" s="1675"/>
      <c r="K214" s="1675"/>
      <c r="L214" s="1675"/>
      <c r="M214" s="1676"/>
      <c r="N214" s="1676"/>
      <c r="O214" s="1676"/>
      <c r="P214" s="1675"/>
      <c r="Q214" s="1675"/>
      <c r="R214" s="1675"/>
      <c r="S214" s="1675"/>
      <c r="T214" s="1675"/>
      <c r="U214" s="1675"/>
      <c r="V214" s="1675"/>
      <c r="W214" s="1675"/>
      <c r="X214" s="1675"/>
      <c r="Y214" s="1675"/>
      <c r="Z214" s="1675"/>
      <c r="AA214" s="1675"/>
    </row>
    <row r="215" spans="1:27" ht="13.5" customHeight="1" x14ac:dyDescent="0.3">
      <c r="A215" s="1675"/>
      <c r="B215" s="1675"/>
      <c r="C215" s="1678"/>
      <c r="D215" s="1771"/>
      <c r="E215" s="1771"/>
      <c r="F215" s="1771"/>
      <c r="G215" s="1689"/>
      <c r="H215" s="1674"/>
      <c r="I215" s="1675"/>
      <c r="J215" s="1675"/>
      <c r="K215" s="1675"/>
      <c r="L215" s="1675"/>
      <c r="M215" s="1676"/>
      <c r="N215" s="1676"/>
      <c r="O215" s="1676"/>
      <c r="P215" s="1675"/>
      <c r="Q215" s="1675"/>
      <c r="R215" s="1675"/>
      <c r="S215" s="1675"/>
      <c r="T215" s="1675"/>
      <c r="U215" s="1675"/>
      <c r="V215" s="1675"/>
      <c r="W215" s="1675"/>
      <c r="X215" s="1675"/>
      <c r="Y215" s="1675"/>
      <c r="Z215" s="1675"/>
      <c r="AA215" s="1675"/>
    </row>
    <row r="216" spans="1:27" ht="13.5" customHeight="1" x14ac:dyDescent="0.3">
      <c r="A216" s="1675"/>
      <c r="B216" s="1675"/>
      <c r="C216" s="1678"/>
      <c r="D216" s="1771"/>
      <c r="E216" s="1771"/>
      <c r="F216" s="1771"/>
      <c r="G216" s="1689"/>
      <c r="H216" s="1674"/>
      <c r="I216" s="1675"/>
      <c r="J216" s="1675"/>
      <c r="K216" s="1675"/>
      <c r="L216" s="1675"/>
      <c r="M216" s="1676"/>
      <c r="N216" s="1676"/>
      <c r="O216" s="1676"/>
      <c r="P216" s="1675"/>
      <c r="Q216" s="1675"/>
      <c r="R216" s="1675"/>
      <c r="S216" s="1675"/>
      <c r="T216" s="1675"/>
      <c r="U216" s="1675"/>
      <c r="V216" s="1675"/>
      <c r="W216" s="1675"/>
      <c r="X216" s="1675"/>
      <c r="Y216" s="1675"/>
      <c r="Z216" s="1675"/>
      <c r="AA216" s="1675"/>
    </row>
    <row r="217" spans="1:27" ht="13.5" customHeight="1" x14ac:dyDescent="0.3">
      <c r="A217" s="1675"/>
      <c r="B217" s="1675"/>
      <c r="C217" s="1678"/>
      <c r="D217" s="1771"/>
      <c r="E217" s="1771"/>
      <c r="F217" s="1771"/>
      <c r="G217" s="1689"/>
      <c r="H217" s="1674"/>
      <c r="I217" s="1675"/>
      <c r="J217" s="1675"/>
      <c r="K217" s="1675"/>
      <c r="L217" s="1675"/>
      <c r="M217" s="1676"/>
      <c r="N217" s="1676"/>
      <c r="O217" s="1676"/>
      <c r="P217" s="1675"/>
      <c r="Q217" s="1675"/>
      <c r="R217" s="1675"/>
      <c r="S217" s="1675"/>
      <c r="T217" s="1675"/>
      <c r="U217" s="1675"/>
      <c r="V217" s="1675"/>
      <c r="W217" s="1675"/>
      <c r="X217" s="1675"/>
      <c r="Y217" s="1675"/>
      <c r="Z217" s="1675"/>
      <c r="AA217" s="1675"/>
    </row>
    <row r="218" spans="1:27" ht="13.5" customHeight="1" x14ac:dyDescent="0.3">
      <c r="A218" s="1675"/>
      <c r="B218" s="1675"/>
      <c r="C218" s="1678"/>
      <c r="D218" s="1771"/>
      <c r="E218" s="1771"/>
      <c r="F218" s="1771"/>
      <c r="G218" s="1689"/>
      <c r="H218" s="1674"/>
      <c r="I218" s="1675"/>
      <c r="J218" s="1675"/>
      <c r="K218" s="1675"/>
      <c r="L218" s="1675"/>
      <c r="M218" s="1676"/>
      <c r="N218" s="1676"/>
      <c r="O218" s="1676"/>
      <c r="P218" s="1675"/>
      <c r="Q218" s="1675"/>
      <c r="R218" s="1675"/>
      <c r="S218" s="1675"/>
      <c r="T218" s="1675"/>
      <c r="U218" s="1675"/>
      <c r="V218" s="1675"/>
      <c r="W218" s="1675"/>
      <c r="X218" s="1675"/>
      <c r="Y218" s="1675"/>
      <c r="Z218" s="1675"/>
      <c r="AA218" s="1675"/>
    </row>
    <row r="219" spans="1:27" ht="13.5" customHeight="1" x14ac:dyDescent="0.3">
      <c r="A219" s="1675"/>
      <c r="B219" s="1675"/>
      <c r="C219" s="1678"/>
      <c r="D219" s="1771"/>
      <c r="E219" s="1771"/>
      <c r="F219" s="1771"/>
      <c r="G219" s="1689"/>
      <c r="H219" s="1674"/>
      <c r="I219" s="1675"/>
      <c r="J219" s="1675"/>
      <c r="K219" s="1675"/>
      <c r="L219" s="1675"/>
      <c r="M219" s="1676"/>
      <c r="N219" s="1676"/>
      <c r="O219" s="1676"/>
      <c r="P219" s="1675"/>
      <c r="Q219" s="1675"/>
      <c r="R219" s="1675"/>
      <c r="S219" s="1675"/>
      <c r="T219" s="1675"/>
      <c r="U219" s="1675"/>
      <c r="V219" s="1675"/>
      <c r="W219" s="1675"/>
      <c r="X219" s="1675"/>
      <c r="Y219" s="1675"/>
      <c r="Z219" s="1675"/>
      <c r="AA219" s="1675"/>
    </row>
    <row r="220" spans="1:27" ht="13.5" customHeight="1" x14ac:dyDescent="0.3">
      <c r="A220" s="1675"/>
      <c r="B220" s="1675"/>
      <c r="C220" s="1678"/>
      <c r="D220" s="1771"/>
      <c r="E220" s="1771"/>
      <c r="F220" s="1771"/>
      <c r="G220" s="1689"/>
      <c r="H220" s="1674"/>
      <c r="I220" s="1675"/>
      <c r="J220" s="1675"/>
      <c r="K220" s="1675"/>
      <c r="L220" s="1675"/>
      <c r="M220" s="1676"/>
      <c r="N220" s="1676"/>
      <c r="O220" s="1676"/>
      <c r="P220" s="1675"/>
      <c r="Q220" s="1675"/>
      <c r="R220" s="1675"/>
      <c r="S220" s="1675"/>
      <c r="T220" s="1675"/>
      <c r="U220" s="1675"/>
      <c r="V220" s="1675"/>
      <c r="W220" s="1675"/>
      <c r="X220" s="1675"/>
      <c r="Y220" s="1675"/>
      <c r="Z220" s="1675"/>
      <c r="AA220" s="1675"/>
    </row>
    <row r="221" spans="1:27" ht="13.5" customHeight="1" x14ac:dyDescent="0.3">
      <c r="A221" s="1675"/>
      <c r="B221" s="1675"/>
      <c r="C221" s="1678"/>
      <c r="D221" s="1771"/>
      <c r="E221" s="1771"/>
      <c r="F221" s="1771"/>
      <c r="G221" s="1689"/>
      <c r="H221" s="1674"/>
      <c r="I221" s="1675"/>
      <c r="J221" s="1675"/>
      <c r="K221" s="1675"/>
      <c r="L221" s="1675"/>
      <c r="M221" s="1676"/>
      <c r="N221" s="1676"/>
      <c r="O221" s="1676"/>
      <c r="P221" s="1675"/>
      <c r="Q221" s="1675"/>
      <c r="R221" s="1675"/>
      <c r="S221" s="1675"/>
      <c r="T221" s="1675"/>
      <c r="U221" s="1675"/>
      <c r="V221" s="1675"/>
      <c r="W221" s="1675"/>
      <c r="X221" s="1675"/>
      <c r="Y221" s="1675"/>
      <c r="Z221" s="1675"/>
      <c r="AA221" s="1675"/>
    </row>
    <row r="222" spans="1:27" ht="13.5" customHeight="1" x14ac:dyDescent="0.3">
      <c r="A222" s="1675"/>
      <c r="B222" s="1675"/>
      <c r="C222" s="1678"/>
      <c r="D222" s="1771"/>
      <c r="E222" s="1771"/>
      <c r="F222" s="1771"/>
      <c r="G222" s="1689"/>
      <c r="H222" s="1674"/>
      <c r="I222" s="1675"/>
      <c r="J222" s="1675"/>
      <c r="K222" s="1675"/>
      <c r="L222" s="1675"/>
      <c r="M222" s="1676"/>
      <c r="N222" s="1676"/>
      <c r="O222" s="1676"/>
      <c r="P222" s="1675"/>
      <c r="Q222" s="1675"/>
      <c r="R222" s="1675"/>
      <c r="S222" s="1675"/>
      <c r="T222" s="1675"/>
      <c r="U222" s="1675"/>
      <c r="V222" s="1675"/>
      <c r="W222" s="1675"/>
      <c r="X222" s="1675"/>
      <c r="Y222" s="1675"/>
      <c r="Z222" s="1675"/>
      <c r="AA222" s="1675"/>
    </row>
    <row r="223" spans="1:27" ht="13.5" customHeight="1" x14ac:dyDescent="0.3">
      <c r="A223" s="1675"/>
      <c r="B223" s="1675"/>
      <c r="C223" s="1678"/>
      <c r="D223" s="1771"/>
      <c r="E223" s="1771"/>
      <c r="F223" s="1771"/>
      <c r="G223" s="1689"/>
      <c r="H223" s="1674"/>
      <c r="I223" s="1675"/>
      <c r="J223" s="1675"/>
      <c r="K223" s="1675"/>
      <c r="L223" s="1675"/>
      <c r="M223" s="1676"/>
      <c r="N223" s="1676"/>
      <c r="O223" s="1676"/>
      <c r="P223" s="1675"/>
      <c r="Q223" s="1675"/>
      <c r="R223" s="1675"/>
      <c r="S223" s="1675"/>
      <c r="T223" s="1675"/>
      <c r="U223" s="1675"/>
      <c r="V223" s="1675"/>
      <c r="W223" s="1675"/>
      <c r="X223" s="1675"/>
      <c r="Y223" s="1675"/>
      <c r="Z223" s="1675"/>
      <c r="AA223" s="1675"/>
    </row>
    <row r="224" spans="1:27" ht="13.5" customHeight="1" x14ac:dyDescent="0.3">
      <c r="A224" s="1675"/>
      <c r="B224" s="1675"/>
      <c r="C224" s="1678"/>
      <c r="D224" s="1771"/>
      <c r="E224" s="1771"/>
      <c r="F224" s="1771"/>
      <c r="G224" s="1689"/>
      <c r="H224" s="1674"/>
      <c r="I224" s="1675"/>
      <c r="J224" s="1675"/>
      <c r="K224" s="1675"/>
      <c r="L224" s="1675"/>
      <c r="M224" s="1676"/>
      <c r="N224" s="1676"/>
      <c r="O224" s="1676"/>
      <c r="P224" s="1675"/>
      <c r="Q224" s="1675"/>
      <c r="R224" s="1675"/>
      <c r="S224" s="1675"/>
      <c r="T224" s="1675"/>
      <c r="U224" s="1675"/>
      <c r="V224" s="1675"/>
      <c r="W224" s="1675"/>
      <c r="X224" s="1675"/>
      <c r="Y224" s="1675"/>
      <c r="Z224" s="1675"/>
      <c r="AA224" s="1675"/>
    </row>
    <row r="225" spans="1:27" ht="13.5" customHeight="1" x14ac:dyDescent="0.3">
      <c r="A225" s="1675"/>
      <c r="B225" s="1675"/>
      <c r="C225" s="1678"/>
      <c r="D225" s="1771"/>
      <c r="E225" s="1771"/>
      <c r="F225" s="1771"/>
      <c r="G225" s="1689"/>
      <c r="H225" s="1674"/>
      <c r="I225" s="1675"/>
      <c r="J225" s="1675"/>
      <c r="K225" s="1675"/>
      <c r="L225" s="1675"/>
      <c r="M225" s="1676"/>
      <c r="N225" s="1676"/>
      <c r="O225" s="1676"/>
      <c r="P225" s="1675"/>
      <c r="Q225" s="1675"/>
      <c r="R225" s="1675"/>
      <c r="S225" s="1675"/>
      <c r="T225" s="1675"/>
      <c r="U225" s="1675"/>
      <c r="V225" s="1675"/>
      <c r="W225" s="1675"/>
      <c r="X225" s="1675"/>
      <c r="Y225" s="1675"/>
      <c r="Z225" s="1675"/>
      <c r="AA225" s="1675"/>
    </row>
    <row r="226" spans="1:27" ht="13.5" customHeight="1" x14ac:dyDescent="0.3">
      <c r="A226" s="1675"/>
      <c r="B226" s="1675"/>
      <c r="C226" s="1678"/>
      <c r="D226" s="1771"/>
      <c r="E226" s="1771"/>
      <c r="F226" s="1771"/>
      <c r="G226" s="1689"/>
      <c r="H226" s="1674"/>
      <c r="I226" s="1675"/>
      <c r="J226" s="1675"/>
      <c r="K226" s="1675"/>
      <c r="L226" s="1675"/>
      <c r="M226" s="1676"/>
      <c r="N226" s="1676"/>
      <c r="O226" s="1676"/>
      <c r="P226" s="1675"/>
      <c r="Q226" s="1675"/>
      <c r="R226" s="1675"/>
      <c r="S226" s="1675"/>
      <c r="T226" s="1675"/>
      <c r="U226" s="1675"/>
      <c r="V226" s="1675"/>
      <c r="W226" s="1675"/>
      <c r="X226" s="1675"/>
      <c r="Y226" s="1675"/>
      <c r="Z226" s="1675"/>
      <c r="AA226" s="1675"/>
    </row>
    <row r="227" spans="1:27" ht="13.5" customHeight="1" x14ac:dyDescent="0.3">
      <c r="A227" s="1675"/>
      <c r="B227" s="1675"/>
      <c r="C227" s="1678"/>
      <c r="D227" s="1771"/>
      <c r="E227" s="1771"/>
      <c r="F227" s="1771"/>
      <c r="G227" s="1689"/>
      <c r="H227" s="1674"/>
      <c r="I227" s="1675"/>
      <c r="J227" s="1675"/>
      <c r="K227" s="1675"/>
      <c r="L227" s="1675"/>
      <c r="M227" s="1676"/>
      <c r="N227" s="1676"/>
      <c r="O227" s="1676"/>
      <c r="P227" s="1675"/>
      <c r="Q227" s="1675"/>
      <c r="R227" s="1675"/>
      <c r="S227" s="1675"/>
      <c r="T227" s="1675"/>
      <c r="U227" s="1675"/>
      <c r="V227" s="1675"/>
      <c r="W227" s="1675"/>
      <c r="X227" s="1675"/>
      <c r="Y227" s="1675"/>
      <c r="Z227" s="1675"/>
      <c r="AA227" s="1675"/>
    </row>
    <row r="228" spans="1:27" ht="13.5" customHeight="1" x14ac:dyDescent="0.3">
      <c r="A228" s="1675"/>
      <c r="B228" s="1675"/>
      <c r="C228" s="1678"/>
      <c r="D228" s="1771"/>
      <c r="E228" s="1771"/>
      <c r="F228" s="1771"/>
      <c r="G228" s="1689"/>
      <c r="H228" s="1674"/>
      <c r="I228" s="1675"/>
      <c r="J228" s="1675"/>
      <c r="K228" s="1675"/>
      <c r="L228" s="1675"/>
      <c r="M228" s="1676"/>
      <c r="N228" s="1676"/>
      <c r="O228" s="1676"/>
      <c r="P228" s="1675"/>
      <c r="Q228" s="1675"/>
      <c r="R228" s="1675"/>
      <c r="S228" s="1675"/>
      <c r="T228" s="1675"/>
      <c r="U228" s="1675"/>
      <c r="V228" s="1675"/>
      <c r="W228" s="1675"/>
      <c r="X228" s="1675"/>
      <c r="Y228" s="1675"/>
      <c r="Z228" s="1675"/>
      <c r="AA228" s="1675"/>
    </row>
    <row r="229" spans="1:27" ht="13.5" customHeight="1" x14ac:dyDescent="0.3">
      <c r="A229" s="1675"/>
      <c r="B229" s="1675"/>
      <c r="C229" s="1678"/>
      <c r="D229" s="1771"/>
      <c r="E229" s="1771"/>
      <c r="F229" s="1771"/>
      <c r="G229" s="1689"/>
      <c r="H229" s="1674"/>
      <c r="I229" s="1675"/>
      <c r="J229" s="1675"/>
      <c r="K229" s="1675"/>
      <c r="L229" s="1675"/>
      <c r="M229" s="1676"/>
      <c r="N229" s="1676"/>
      <c r="O229" s="1676"/>
      <c r="P229" s="1675"/>
      <c r="Q229" s="1675"/>
      <c r="R229" s="1675"/>
      <c r="S229" s="1675"/>
      <c r="T229" s="1675"/>
      <c r="U229" s="1675"/>
      <c r="V229" s="1675"/>
      <c r="W229" s="1675"/>
      <c r="X229" s="1675"/>
      <c r="Y229" s="1675"/>
      <c r="Z229" s="1675"/>
      <c r="AA229" s="1675"/>
    </row>
    <row r="230" spans="1:27" ht="13.5" customHeight="1" x14ac:dyDescent="0.3">
      <c r="A230" s="1675"/>
      <c r="B230" s="1675"/>
      <c r="C230" s="1678"/>
      <c r="D230" s="1771"/>
      <c r="E230" s="1771"/>
      <c r="F230" s="1771"/>
      <c r="G230" s="1689"/>
      <c r="H230" s="1674"/>
      <c r="I230" s="1675"/>
      <c r="J230" s="1675"/>
      <c r="K230" s="1675"/>
      <c r="L230" s="1675"/>
      <c r="M230" s="1676"/>
      <c r="N230" s="1676"/>
      <c r="O230" s="1676"/>
      <c r="P230" s="1675"/>
      <c r="Q230" s="1675"/>
      <c r="R230" s="1675"/>
      <c r="S230" s="1675"/>
      <c r="T230" s="1675"/>
      <c r="U230" s="1675"/>
      <c r="V230" s="1675"/>
      <c r="W230" s="1675"/>
      <c r="X230" s="1675"/>
      <c r="Y230" s="1675"/>
      <c r="Z230" s="1675"/>
      <c r="AA230" s="1675"/>
    </row>
    <row r="231" spans="1:27" ht="13.5" customHeight="1" x14ac:dyDescent="0.3">
      <c r="A231" s="1675"/>
      <c r="B231" s="1675"/>
      <c r="C231" s="1678"/>
      <c r="D231" s="1771"/>
      <c r="E231" s="1771"/>
      <c r="F231" s="1771"/>
      <c r="G231" s="1689"/>
      <c r="H231" s="1674"/>
      <c r="I231" s="1675"/>
      <c r="J231" s="1675"/>
      <c r="K231" s="1675"/>
      <c r="L231" s="1675"/>
      <c r="M231" s="1676"/>
      <c r="N231" s="1676"/>
      <c r="O231" s="1676"/>
      <c r="P231" s="1675"/>
      <c r="Q231" s="1675"/>
      <c r="R231" s="1675"/>
      <c r="S231" s="1675"/>
      <c r="T231" s="1675"/>
      <c r="U231" s="1675"/>
      <c r="V231" s="1675"/>
      <c r="W231" s="1675"/>
      <c r="X231" s="1675"/>
      <c r="Y231" s="1675"/>
      <c r="Z231" s="1675"/>
      <c r="AA231" s="1675"/>
    </row>
    <row r="232" spans="1:27" ht="13.5" customHeight="1" x14ac:dyDescent="0.3">
      <c r="A232" s="1675"/>
      <c r="B232" s="1675"/>
      <c r="C232" s="1678"/>
      <c r="D232" s="1771"/>
      <c r="E232" s="1771"/>
      <c r="F232" s="1771"/>
      <c r="G232" s="1689"/>
      <c r="H232" s="1674"/>
      <c r="I232" s="1675"/>
      <c r="J232" s="1675"/>
      <c r="K232" s="1675"/>
      <c r="L232" s="1675"/>
      <c r="M232" s="1676"/>
      <c r="N232" s="1676"/>
      <c r="O232" s="1676"/>
      <c r="P232" s="1675"/>
      <c r="Q232" s="1675"/>
      <c r="R232" s="1675"/>
      <c r="S232" s="1675"/>
      <c r="T232" s="1675"/>
      <c r="U232" s="1675"/>
      <c r="V232" s="1675"/>
      <c r="W232" s="1675"/>
      <c r="X232" s="1675"/>
      <c r="Y232" s="1675"/>
      <c r="Z232" s="1675"/>
      <c r="AA232" s="1675"/>
    </row>
    <row r="233" spans="1:27" ht="13.5" customHeight="1" x14ac:dyDescent="0.3">
      <c r="A233" s="1675"/>
      <c r="B233" s="1675"/>
      <c r="C233" s="1678"/>
      <c r="D233" s="1771"/>
      <c r="E233" s="1771"/>
      <c r="F233" s="1771"/>
      <c r="G233" s="1689"/>
      <c r="H233" s="1674"/>
      <c r="I233" s="1675"/>
      <c r="J233" s="1675"/>
      <c r="K233" s="1675"/>
      <c r="L233" s="1675"/>
      <c r="M233" s="1676"/>
      <c r="N233" s="1676"/>
      <c r="O233" s="1676"/>
      <c r="P233" s="1675"/>
      <c r="Q233" s="1675"/>
      <c r="R233" s="1675"/>
      <c r="S233" s="1675"/>
      <c r="T233" s="1675"/>
      <c r="U233" s="1675"/>
      <c r="V233" s="1675"/>
      <c r="W233" s="1675"/>
      <c r="X233" s="1675"/>
      <c r="Y233" s="1675"/>
      <c r="Z233" s="1675"/>
      <c r="AA233" s="1675"/>
    </row>
    <row r="234" spans="1:27" ht="13.5" customHeight="1" x14ac:dyDescent="0.3">
      <c r="A234" s="1675"/>
      <c r="B234" s="1675"/>
      <c r="C234" s="1678"/>
      <c r="D234" s="1771"/>
      <c r="E234" s="1771"/>
      <c r="F234" s="1771"/>
      <c r="G234" s="1689"/>
      <c r="H234" s="1674"/>
      <c r="I234" s="1675"/>
      <c r="J234" s="1675"/>
      <c r="K234" s="1675"/>
      <c r="L234" s="1675"/>
      <c r="M234" s="1676"/>
      <c r="N234" s="1676"/>
      <c r="O234" s="1676"/>
      <c r="P234" s="1675"/>
      <c r="Q234" s="1675"/>
      <c r="R234" s="1675"/>
      <c r="S234" s="1675"/>
      <c r="T234" s="1675"/>
      <c r="U234" s="1675"/>
      <c r="V234" s="1675"/>
      <c r="W234" s="1675"/>
      <c r="X234" s="1675"/>
      <c r="Y234" s="1675"/>
      <c r="Z234" s="1675"/>
      <c r="AA234" s="1675"/>
    </row>
    <row r="235" spans="1:27" ht="13.5" customHeight="1" x14ac:dyDescent="0.3">
      <c r="A235" s="1675"/>
      <c r="B235" s="1675"/>
      <c r="C235" s="1678"/>
      <c r="D235" s="1771"/>
      <c r="E235" s="1771"/>
      <c r="F235" s="1771"/>
      <c r="G235" s="1689"/>
      <c r="H235" s="1674"/>
      <c r="I235" s="1675"/>
      <c r="J235" s="1675"/>
      <c r="K235" s="1675"/>
      <c r="L235" s="1675"/>
      <c r="M235" s="1676"/>
      <c r="N235" s="1676"/>
      <c r="O235" s="1676"/>
      <c r="P235" s="1675"/>
      <c r="Q235" s="1675"/>
      <c r="R235" s="1675"/>
      <c r="S235" s="1675"/>
      <c r="T235" s="1675"/>
      <c r="U235" s="1675"/>
      <c r="V235" s="1675"/>
      <c r="W235" s="1675"/>
      <c r="X235" s="1675"/>
      <c r="Y235" s="1675"/>
      <c r="Z235" s="1675"/>
      <c r="AA235" s="1675"/>
    </row>
    <row r="236" spans="1:27" ht="13.5" customHeight="1" x14ac:dyDescent="0.3">
      <c r="A236" s="1675"/>
      <c r="B236" s="1675"/>
      <c r="C236" s="1678"/>
      <c r="D236" s="1771"/>
      <c r="E236" s="1771"/>
      <c r="F236" s="1771"/>
      <c r="G236" s="1689"/>
      <c r="H236" s="1674"/>
      <c r="I236" s="1675"/>
      <c r="J236" s="1675"/>
      <c r="K236" s="1675"/>
      <c r="L236" s="1675"/>
      <c r="M236" s="1676"/>
      <c r="N236" s="1676"/>
      <c r="O236" s="1676"/>
      <c r="P236" s="1675"/>
      <c r="Q236" s="1675"/>
      <c r="R236" s="1675"/>
      <c r="S236" s="1675"/>
      <c r="T236" s="1675"/>
      <c r="U236" s="1675"/>
      <c r="V236" s="1675"/>
      <c r="W236" s="1675"/>
      <c r="X236" s="1675"/>
      <c r="Y236" s="1675"/>
      <c r="Z236" s="1675"/>
      <c r="AA236" s="1675"/>
    </row>
    <row r="237" spans="1:27" ht="13.5" customHeight="1" x14ac:dyDescent="0.3">
      <c r="A237" s="1675"/>
      <c r="B237" s="1675"/>
      <c r="C237" s="1678"/>
      <c r="D237" s="1771"/>
      <c r="E237" s="1771"/>
      <c r="F237" s="1771"/>
      <c r="G237" s="1689"/>
      <c r="H237" s="1674"/>
      <c r="I237" s="1675"/>
      <c r="J237" s="1675"/>
      <c r="K237" s="1675"/>
      <c r="L237" s="1675"/>
      <c r="M237" s="1676"/>
      <c r="N237" s="1676"/>
      <c r="O237" s="1676"/>
      <c r="P237" s="1675"/>
      <c r="Q237" s="1675"/>
      <c r="R237" s="1675"/>
      <c r="S237" s="1675"/>
      <c r="T237" s="1675"/>
      <c r="U237" s="1675"/>
      <c r="V237" s="1675"/>
      <c r="W237" s="1675"/>
      <c r="X237" s="1675"/>
      <c r="Y237" s="1675"/>
      <c r="Z237" s="1675"/>
      <c r="AA237" s="1675"/>
    </row>
    <row r="238" spans="1:27" ht="13.5" customHeight="1" x14ac:dyDescent="0.3">
      <c r="A238" s="1675"/>
      <c r="B238" s="1675"/>
      <c r="C238" s="1678"/>
      <c r="D238" s="1771"/>
      <c r="E238" s="1771"/>
      <c r="F238" s="1771"/>
      <c r="G238" s="1689"/>
      <c r="H238" s="1674"/>
      <c r="I238" s="1675"/>
      <c r="J238" s="1675"/>
      <c r="K238" s="1675"/>
      <c r="L238" s="1675"/>
      <c r="M238" s="1676"/>
      <c r="N238" s="1676"/>
      <c r="O238" s="1676"/>
      <c r="P238" s="1675"/>
      <c r="Q238" s="1675"/>
      <c r="R238" s="1675"/>
      <c r="S238" s="1675"/>
      <c r="T238" s="1675"/>
      <c r="U238" s="1675"/>
      <c r="V238" s="1675"/>
      <c r="W238" s="1675"/>
      <c r="X238" s="1675"/>
      <c r="Y238" s="1675"/>
      <c r="Z238" s="1675"/>
      <c r="AA238" s="1675"/>
    </row>
    <row r="239" spans="1:27" ht="13.5" customHeight="1" x14ac:dyDescent="0.3">
      <c r="A239" s="1675"/>
      <c r="B239" s="1675"/>
      <c r="C239" s="1678"/>
      <c r="D239" s="1771"/>
      <c r="E239" s="1771"/>
      <c r="F239" s="1771"/>
      <c r="G239" s="1689"/>
      <c r="H239" s="1674"/>
      <c r="I239" s="1675"/>
      <c r="J239" s="1675"/>
      <c r="K239" s="1675"/>
      <c r="L239" s="1675"/>
      <c r="M239" s="1676"/>
      <c r="N239" s="1676"/>
      <c r="O239" s="1676"/>
      <c r="P239" s="1675"/>
      <c r="Q239" s="1675"/>
      <c r="R239" s="1675"/>
      <c r="S239" s="1675"/>
      <c r="T239" s="1675"/>
      <c r="U239" s="1675"/>
      <c r="V239" s="1675"/>
      <c r="W239" s="1675"/>
      <c r="X239" s="1675"/>
      <c r="Y239" s="1675"/>
      <c r="Z239" s="1675"/>
      <c r="AA239" s="1675"/>
    </row>
    <row r="240" spans="1:27" ht="13.5" customHeight="1" x14ac:dyDescent="0.3">
      <c r="A240" s="1675"/>
      <c r="B240" s="1675"/>
      <c r="C240" s="1678"/>
      <c r="D240" s="1771"/>
      <c r="E240" s="1771"/>
      <c r="F240" s="1771"/>
      <c r="G240" s="1689"/>
      <c r="H240" s="1674"/>
      <c r="I240" s="1675"/>
      <c r="J240" s="1675"/>
      <c r="K240" s="1675"/>
      <c r="L240" s="1675"/>
      <c r="M240" s="1676"/>
      <c r="N240" s="1676"/>
      <c r="O240" s="1676"/>
      <c r="P240" s="1675"/>
      <c r="Q240" s="1675"/>
      <c r="R240" s="1675"/>
      <c r="S240" s="1675"/>
      <c r="T240" s="1675"/>
      <c r="U240" s="1675"/>
      <c r="V240" s="1675"/>
      <c r="W240" s="1675"/>
      <c r="X240" s="1675"/>
      <c r="Y240" s="1675"/>
      <c r="Z240" s="1675"/>
      <c r="AA240" s="1675"/>
    </row>
    <row r="241" spans="1:27" ht="13.5" customHeight="1" x14ac:dyDescent="0.3">
      <c r="A241" s="1675"/>
      <c r="B241" s="1675"/>
      <c r="C241" s="1678"/>
      <c r="D241" s="1771"/>
      <c r="E241" s="1771"/>
      <c r="F241" s="1771"/>
      <c r="G241" s="1689"/>
      <c r="H241" s="1674"/>
      <c r="I241" s="1675"/>
      <c r="J241" s="1675"/>
      <c r="K241" s="1675"/>
      <c r="L241" s="1675"/>
      <c r="M241" s="1676"/>
      <c r="N241" s="1676"/>
      <c r="O241" s="1676"/>
      <c r="P241" s="1675"/>
      <c r="Q241" s="1675"/>
      <c r="R241" s="1675"/>
      <c r="S241" s="1675"/>
      <c r="T241" s="1675"/>
      <c r="U241" s="1675"/>
      <c r="V241" s="1675"/>
      <c r="W241" s="1675"/>
      <c r="X241" s="1675"/>
      <c r="Y241" s="1675"/>
      <c r="Z241" s="1675"/>
      <c r="AA241" s="1675"/>
    </row>
    <row r="242" spans="1:27" ht="13.5" customHeight="1" x14ac:dyDescent="0.3">
      <c r="A242" s="1675"/>
      <c r="B242" s="1675"/>
      <c r="C242" s="1678"/>
      <c r="D242" s="1771"/>
      <c r="E242" s="1771"/>
      <c r="F242" s="1771"/>
      <c r="G242" s="1689"/>
      <c r="H242" s="1674"/>
      <c r="I242" s="1675"/>
      <c r="J242" s="1675"/>
      <c r="K242" s="1675"/>
      <c r="L242" s="1675"/>
      <c r="M242" s="1676"/>
      <c r="N242" s="1676"/>
      <c r="O242" s="1676"/>
      <c r="P242" s="1675"/>
      <c r="Q242" s="1675"/>
      <c r="R242" s="1675"/>
      <c r="S242" s="1675"/>
      <c r="T242" s="1675"/>
      <c r="U242" s="1675"/>
      <c r="V242" s="1675"/>
      <c r="W242" s="1675"/>
      <c r="X242" s="1675"/>
      <c r="Y242" s="1675"/>
      <c r="Z242" s="1675"/>
      <c r="AA242" s="1675"/>
    </row>
    <row r="243" spans="1:27" ht="13.5" customHeight="1" x14ac:dyDescent="0.3">
      <c r="A243" s="1675"/>
      <c r="B243" s="1675"/>
      <c r="C243" s="1678"/>
      <c r="D243" s="1771"/>
      <c r="E243" s="1771"/>
      <c r="F243" s="1771"/>
      <c r="G243" s="1689"/>
      <c r="H243" s="1674"/>
      <c r="I243" s="1675"/>
      <c r="J243" s="1675"/>
      <c r="K243" s="1675"/>
      <c r="L243" s="1675"/>
      <c r="M243" s="1676"/>
      <c r="N243" s="1676"/>
      <c r="O243" s="1676"/>
      <c r="P243" s="1675"/>
      <c r="Q243" s="1675"/>
      <c r="R243" s="1675"/>
      <c r="S243" s="1675"/>
      <c r="T243" s="1675"/>
      <c r="U243" s="1675"/>
      <c r="V243" s="1675"/>
      <c r="W243" s="1675"/>
      <c r="X243" s="1675"/>
      <c r="Y243" s="1675"/>
      <c r="Z243" s="1675"/>
      <c r="AA243" s="1675"/>
    </row>
    <row r="244" spans="1:27" ht="13.5" customHeight="1" x14ac:dyDescent="0.3">
      <c r="A244" s="1675"/>
      <c r="B244" s="1675"/>
      <c r="C244" s="1678"/>
      <c r="D244" s="1771"/>
      <c r="E244" s="1771"/>
      <c r="F244" s="1771"/>
      <c r="G244" s="1689"/>
      <c r="H244" s="1674"/>
      <c r="I244" s="1675"/>
      <c r="J244" s="1675"/>
      <c r="K244" s="1675"/>
      <c r="L244" s="1675"/>
      <c r="M244" s="1676"/>
      <c r="N244" s="1676"/>
      <c r="O244" s="1676"/>
      <c r="P244" s="1675"/>
      <c r="Q244" s="1675"/>
      <c r="R244" s="1675"/>
      <c r="S244" s="1675"/>
      <c r="T244" s="1675"/>
      <c r="U244" s="1675"/>
      <c r="V244" s="1675"/>
      <c r="W244" s="1675"/>
      <c r="X244" s="1675"/>
      <c r="Y244" s="1675"/>
      <c r="Z244" s="1675"/>
      <c r="AA244" s="1675"/>
    </row>
    <row r="245" spans="1:27" ht="13.5" customHeight="1" x14ac:dyDescent="0.3">
      <c r="A245" s="1675"/>
      <c r="B245" s="1675"/>
      <c r="C245" s="1678"/>
      <c r="D245" s="1771"/>
      <c r="E245" s="1771"/>
      <c r="F245" s="1771"/>
      <c r="G245" s="1689"/>
      <c r="H245" s="1674"/>
      <c r="I245" s="1675"/>
      <c r="J245" s="1675"/>
      <c r="K245" s="1675"/>
      <c r="L245" s="1675"/>
      <c r="M245" s="1676"/>
      <c r="N245" s="1676"/>
      <c r="O245" s="1676"/>
      <c r="P245" s="1675"/>
      <c r="Q245" s="1675"/>
      <c r="R245" s="1675"/>
      <c r="S245" s="1675"/>
      <c r="T245" s="1675"/>
      <c r="U245" s="1675"/>
      <c r="V245" s="1675"/>
      <c r="W245" s="1675"/>
      <c r="X245" s="1675"/>
      <c r="Y245" s="1675"/>
      <c r="Z245" s="1675"/>
      <c r="AA245" s="1675"/>
    </row>
    <row r="246" spans="1:27" ht="13.5" customHeight="1" x14ac:dyDescent="0.3">
      <c r="A246" s="1675"/>
      <c r="B246" s="1675"/>
      <c r="C246" s="1678"/>
      <c r="D246" s="1771"/>
      <c r="E246" s="1771"/>
      <c r="F246" s="1771"/>
      <c r="G246" s="1689"/>
      <c r="H246" s="1674"/>
      <c r="I246" s="1675"/>
      <c r="J246" s="1675"/>
      <c r="K246" s="1675"/>
      <c r="L246" s="1675"/>
      <c r="M246" s="1676"/>
      <c r="N246" s="1676"/>
      <c r="O246" s="1676"/>
      <c r="P246" s="1675"/>
      <c r="Q246" s="1675"/>
      <c r="R246" s="1675"/>
      <c r="S246" s="1675"/>
      <c r="T246" s="1675"/>
      <c r="U246" s="1675"/>
      <c r="V246" s="1675"/>
      <c r="W246" s="1675"/>
      <c r="X246" s="1675"/>
      <c r="Y246" s="1675"/>
      <c r="Z246" s="1675"/>
      <c r="AA246" s="1675"/>
    </row>
    <row r="247" spans="1:27" ht="13.5" customHeight="1" x14ac:dyDescent="0.3">
      <c r="A247" s="1675"/>
      <c r="B247" s="1675"/>
      <c r="C247" s="1678"/>
      <c r="D247" s="1771"/>
      <c r="E247" s="1771"/>
      <c r="F247" s="1771"/>
      <c r="G247" s="1689"/>
      <c r="H247" s="1674"/>
      <c r="I247" s="1675"/>
      <c r="J247" s="1675"/>
      <c r="K247" s="1675"/>
      <c r="L247" s="1675"/>
      <c r="M247" s="1676"/>
      <c r="N247" s="1676"/>
      <c r="O247" s="1676"/>
      <c r="P247" s="1675"/>
      <c r="Q247" s="1675"/>
      <c r="R247" s="1675"/>
      <c r="S247" s="1675"/>
      <c r="T247" s="1675"/>
      <c r="U247" s="1675"/>
      <c r="V247" s="1675"/>
      <c r="W247" s="1675"/>
      <c r="X247" s="1675"/>
      <c r="Y247" s="1675"/>
      <c r="Z247" s="1675"/>
      <c r="AA247" s="1675"/>
    </row>
    <row r="248" spans="1:27" ht="13.5" customHeight="1" x14ac:dyDescent="0.3">
      <c r="A248" s="1675"/>
      <c r="B248" s="1675"/>
      <c r="C248" s="1678"/>
      <c r="D248" s="1771"/>
      <c r="E248" s="1771"/>
      <c r="F248" s="1771"/>
      <c r="G248" s="1689"/>
      <c r="H248" s="1674"/>
      <c r="I248" s="1675"/>
      <c r="J248" s="1675"/>
      <c r="K248" s="1675"/>
      <c r="L248" s="1675"/>
      <c r="M248" s="1676"/>
      <c r="N248" s="1676"/>
      <c r="O248" s="1676"/>
      <c r="P248" s="1675"/>
      <c r="Q248" s="1675"/>
      <c r="R248" s="1675"/>
      <c r="S248" s="1675"/>
      <c r="T248" s="1675"/>
      <c r="U248" s="1675"/>
      <c r="V248" s="1675"/>
      <c r="W248" s="1675"/>
      <c r="X248" s="1675"/>
      <c r="Y248" s="1675"/>
      <c r="Z248" s="1675"/>
      <c r="AA248" s="1675"/>
    </row>
    <row r="249" spans="1:27" ht="13.5" customHeight="1" x14ac:dyDescent="0.3">
      <c r="A249" s="1675"/>
      <c r="B249" s="1675"/>
      <c r="C249" s="1678"/>
      <c r="D249" s="1771"/>
      <c r="E249" s="1771"/>
      <c r="F249" s="1771"/>
      <c r="G249" s="1689"/>
      <c r="H249" s="1674"/>
      <c r="I249" s="1675"/>
      <c r="J249" s="1675"/>
      <c r="K249" s="1675"/>
      <c r="L249" s="1675"/>
      <c r="M249" s="1676"/>
      <c r="N249" s="1676"/>
      <c r="O249" s="1676"/>
      <c r="P249" s="1675"/>
      <c r="Q249" s="1675"/>
      <c r="R249" s="1675"/>
      <c r="S249" s="1675"/>
      <c r="T249" s="1675"/>
      <c r="U249" s="1675"/>
      <c r="V249" s="1675"/>
      <c r="W249" s="1675"/>
      <c r="X249" s="1675"/>
      <c r="Y249" s="1675"/>
      <c r="Z249" s="1675"/>
      <c r="AA249" s="1675"/>
    </row>
    <row r="250" spans="1:27" ht="13.5" customHeight="1" x14ac:dyDescent="0.3">
      <c r="A250" s="1675"/>
      <c r="B250" s="1675"/>
      <c r="C250" s="1678"/>
      <c r="D250" s="1771"/>
      <c r="E250" s="1771"/>
      <c r="F250" s="1771"/>
      <c r="G250" s="1689"/>
      <c r="H250" s="1674"/>
      <c r="I250" s="1675"/>
      <c r="J250" s="1675"/>
      <c r="K250" s="1675"/>
      <c r="L250" s="1675"/>
      <c r="M250" s="1676"/>
      <c r="N250" s="1676"/>
      <c r="O250" s="1676"/>
      <c r="P250" s="1675"/>
      <c r="Q250" s="1675"/>
      <c r="R250" s="1675"/>
      <c r="S250" s="1675"/>
      <c r="T250" s="1675"/>
      <c r="U250" s="1675"/>
      <c r="V250" s="1675"/>
      <c r="W250" s="1675"/>
      <c r="X250" s="1675"/>
      <c r="Y250" s="1675"/>
      <c r="Z250" s="1675"/>
      <c r="AA250" s="1675"/>
    </row>
    <row r="251" spans="1:27" ht="13.5" customHeight="1" x14ac:dyDescent="0.3">
      <c r="A251" s="1675"/>
      <c r="B251" s="1675"/>
      <c r="C251" s="1678"/>
      <c r="D251" s="1771"/>
      <c r="E251" s="1771"/>
      <c r="F251" s="1771"/>
      <c r="G251" s="1689"/>
      <c r="H251" s="1674"/>
      <c r="I251" s="1675"/>
      <c r="J251" s="1675"/>
      <c r="K251" s="1675"/>
      <c r="L251" s="1675"/>
      <c r="M251" s="1676"/>
      <c r="N251" s="1676"/>
      <c r="O251" s="1676"/>
      <c r="P251" s="1675"/>
      <c r="Q251" s="1675"/>
      <c r="R251" s="1675"/>
      <c r="S251" s="1675"/>
      <c r="T251" s="1675"/>
      <c r="U251" s="1675"/>
      <c r="V251" s="1675"/>
      <c r="W251" s="1675"/>
      <c r="X251" s="1675"/>
      <c r="Y251" s="1675"/>
      <c r="Z251" s="1675"/>
      <c r="AA251" s="1675"/>
    </row>
    <row r="252" spans="1:27" ht="13.5" customHeight="1" x14ac:dyDescent="0.3">
      <c r="A252" s="1675"/>
      <c r="B252" s="1675"/>
      <c r="C252" s="1678"/>
      <c r="D252" s="1771"/>
      <c r="E252" s="1771"/>
      <c r="F252" s="1771"/>
      <c r="G252" s="1689"/>
      <c r="H252" s="1674"/>
      <c r="I252" s="1675"/>
      <c r="J252" s="1675"/>
      <c r="K252" s="1675"/>
      <c r="L252" s="1675"/>
      <c r="M252" s="1676"/>
      <c r="N252" s="1676"/>
      <c r="O252" s="1676"/>
      <c r="P252" s="1675"/>
      <c r="Q252" s="1675"/>
      <c r="R252" s="1675"/>
      <c r="S252" s="1675"/>
      <c r="T252" s="1675"/>
      <c r="U252" s="1675"/>
      <c r="V252" s="1675"/>
      <c r="W252" s="1675"/>
      <c r="X252" s="1675"/>
      <c r="Y252" s="1675"/>
      <c r="Z252" s="1675"/>
      <c r="AA252" s="1675"/>
    </row>
    <row r="253" spans="1:27" ht="13.5" customHeight="1" x14ac:dyDescent="0.3">
      <c r="A253" s="1675"/>
      <c r="B253" s="1675"/>
      <c r="C253" s="1678"/>
      <c r="D253" s="1771"/>
      <c r="E253" s="1771"/>
      <c r="F253" s="1771"/>
      <c r="G253" s="1689"/>
      <c r="H253" s="1674"/>
      <c r="I253" s="1675"/>
      <c r="J253" s="1675"/>
      <c r="K253" s="1675"/>
      <c r="L253" s="1675"/>
      <c r="M253" s="1676"/>
      <c r="N253" s="1676"/>
      <c r="O253" s="1676"/>
      <c r="P253" s="1675"/>
      <c r="Q253" s="1675"/>
      <c r="R253" s="1675"/>
      <c r="S253" s="1675"/>
      <c r="T253" s="1675"/>
      <c r="U253" s="1675"/>
      <c r="V253" s="1675"/>
      <c r="W253" s="1675"/>
      <c r="X253" s="1675"/>
      <c r="Y253" s="1675"/>
      <c r="Z253" s="1675"/>
      <c r="AA253" s="1675"/>
    </row>
    <row r="254" spans="1:27" ht="13.5" customHeight="1" x14ac:dyDescent="0.3">
      <c r="A254" s="1675"/>
      <c r="B254" s="1675"/>
      <c r="C254" s="1678"/>
      <c r="D254" s="1771"/>
      <c r="E254" s="1771"/>
      <c r="F254" s="1771"/>
      <c r="G254" s="1689"/>
      <c r="H254" s="1674"/>
      <c r="I254" s="1675"/>
      <c r="J254" s="1675"/>
      <c r="K254" s="1675"/>
      <c r="L254" s="1675"/>
      <c r="M254" s="1676"/>
      <c r="N254" s="1676"/>
      <c r="O254" s="1676"/>
      <c r="P254" s="1675"/>
      <c r="Q254" s="1675"/>
      <c r="R254" s="1675"/>
      <c r="S254" s="1675"/>
      <c r="T254" s="1675"/>
      <c r="U254" s="1675"/>
      <c r="V254" s="1675"/>
      <c r="W254" s="1675"/>
      <c r="X254" s="1675"/>
      <c r="Y254" s="1675"/>
      <c r="Z254" s="1675"/>
      <c r="AA254" s="1675"/>
    </row>
    <row r="255" spans="1:27" ht="13.5" customHeight="1" x14ac:dyDescent="0.3">
      <c r="A255" s="1675"/>
      <c r="B255" s="1675"/>
      <c r="C255" s="1678"/>
      <c r="D255" s="1771"/>
      <c r="E255" s="1771"/>
      <c r="F255" s="1771"/>
      <c r="G255" s="1689"/>
      <c r="H255" s="1674"/>
      <c r="I255" s="1675"/>
      <c r="J255" s="1675"/>
      <c r="K255" s="1675"/>
      <c r="L255" s="1675"/>
      <c r="M255" s="1676"/>
      <c r="N255" s="1676"/>
      <c r="O255" s="1676"/>
      <c r="P255" s="1675"/>
      <c r="Q255" s="1675"/>
      <c r="R255" s="1675"/>
      <c r="S255" s="1675"/>
      <c r="T255" s="1675"/>
      <c r="U255" s="1675"/>
      <c r="V255" s="1675"/>
      <c r="W255" s="1675"/>
      <c r="X255" s="1675"/>
      <c r="Y255" s="1675"/>
      <c r="Z255" s="1675"/>
      <c r="AA255" s="1675"/>
    </row>
    <row r="256" spans="1:27" ht="13.5" customHeight="1" x14ac:dyDescent="0.3">
      <c r="A256" s="1675"/>
      <c r="B256" s="1675"/>
      <c r="C256" s="1678"/>
      <c r="D256" s="1771"/>
      <c r="E256" s="1771"/>
      <c r="F256" s="1771"/>
      <c r="G256" s="1689"/>
      <c r="H256" s="1674"/>
      <c r="I256" s="1675"/>
      <c r="J256" s="1675"/>
      <c r="K256" s="1675"/>
      <c r="L256" s="1675"/>
      <c r="M256" s="1676"/>
      <c r="N256" s="1676"/>
      <c r="O256" s="1676"/>
      <c r="P256" s="1675"/>
      <c r="Q256" s="1675"/>
      <c r="R256" s="1675"/>
      <c r="S256" s="1675"/>
      <c r="T256" s="1675"/>
      <c r="U256" s="1675"/>
      <c r="V256" s="1675"/>
      <c r="W256" s="1675"/>
      <c r="X256" s="1675"/>
      <c r="Y256" s="1675"/>
      <c r="Z256" s="1675"/>
      <c r="AA256" s="1675"/>
    </row>
    <row r="257" spans="1:27" ht="13.5" customHeight="1" x14ac:dyDescent="0.3">
      <c r="A257" s="1675"/>
      <c r="B257" s="1675"/>
      <c r="C257" s="1678"/>
      <c r="D257" s="1771"/>
      <c r="E257" s="1771"/>
      <c r="F257" s="1771"/>
      <c r="G257" s="1689"/>
      <c r="H257" s="1674"/>
      <c r="I257" s="1675"/>
      <c r="J257" s="1675"/>
      <c r="K257" s="1675"/>
      <c r="L257" s="1675"/>
      <c r="M257" s="1676"/>
      <c r="N257" s="1676"/>
      <c r="O257" s="1676"/>
      <c r="P257" s="1675"/>
      <c r="Q257" s="1675"/>
      <c r="R257" s="1675"/>
      <c r="S257" s="1675"/>
      <c r="T257" s="1675"/>
      <c r="U257" s="1675"/>
      <c r="V257" s="1675"/>
      <c r="W257" s="1675"/>
      <c r="X257" s="1675"/>
      <c r="Y257" s="1675"/>
      <c r="Z257" s="1675"/>
      <c r="AA257" s="1675"/>
    </row>
    <row r="258" spans="1:27" ht="13.5" customHeight="1" x14ac:dyDescent="0.3">
      <c r="A258" s="1675"/>
      <c r="B258" s="1675"/>
      <c r="C258" s="1678"/>
      <c r="D258" s="1771"/>
      <c r="E258" s="1771"/>
      <c r="F258" s="1771"/>
      <c r="G258" s="1689"/>
      <c r="H258" s="1674"/>
      <c r="I258" s="1675"/>
      <c r="J258" s="1675"/>
      <c r="K258" s="1675"/>
      <c r="L258" s="1675"/>
      <c r="M258" s="1676"/>
      <c r="N258" s="1676"/>
      <c r="O258" s="1676"/>
      <c r="P258" s="1675"/>
      <c r="Q258" s="1675"/>
      <c r="R258" s="1675"/>
      <c r="S258" s="1675"/>
      <c r="T258" s="1675"/>
      <c r="U258" s="1675"/>
      <c r="V258" s="1675"/>
      <c r="W258" s="1675"/>
      <c r="X258" s="1675"/>
      <c r="Y258" s="1675"/>
      <c r="Z258" s="1675"/>
      <c r="AA258" s="1675"/>
    </row>
    <row r="259" spans="1:27" ht="13.5" customHeight="1" x14ac:dyDescent="0.3">
      <c r="A259" s="1675"/>
      <c r="B259" s="1675"/>
      <c r="C259" s="1678"/>
      <c r="D259" s="1771"/>
      <c r="E259" s="1771"/>
      <c r="F259" s="1771"/>
      <c r="G259" s="1689"/>
      <c r="H259" s="1674"/>
      <c r="I259" s="1675"/>
      <c r="J259" s="1675"/>
      <c r="K259" s="1675"/>
      <c r="L259" s="1675"/>
      <c r="M259" s="1676"/>
      <c r="N259" s="1676"/>
      <c r="O259" s="1676"/>
      <c r="P259" s="1675"/>
      <c r="Q259" s="1675"/>
      <c r="R259" s="1675"/>
      <c r="S259" s="1675"/>
      <c r="T259" s="1675"/>
      <c r="U259" s="1675"/>
      <c r="V259" s="1675"/>
      <c r="W259" s="1675"/>
      <c r="X259" s="1675"/>
      <c r="Y259" s="1675"/>
      <c r="Z259" s="1675"/>
      <c r="AA259" s="1675"/>
    </row>
    <row r="260" spans="1:27" ht="13.5" customHeight="1" x14ac:dyDescent="0.3">
      <c r="A260" s="1675"/>
      <c r="B260" s="1675"/>
      <c r="C260" s="1678"/>
      <c r="D260" s="1771"/>
      <c r="E260" s="1771"/>
      <c r="F260" s="1771"/>
      <c r="G260" s="1689"/>
      <c r="H260" s="1674"/>
      <c r="I260" s="1675"/>
      <c r="J260" s="1675"/>
      <c r="K260" s="1675"/>
      <c r="L260" s="1675"/>
      <c r="M260" s="1676"/>
      <c r="N260" s="1676"/>
      <c r="O260" s="1676"/>
      <c r="P260" s="1675"/>
      <c r="Q260" s="1675"/>
      <c r="R260" s="1675"/>
      <c r="S260" s="1675"/>
      <c r="T260" s="1675"/>
      <c r="U260" s="1675"/>
      <c r="V260" s="1675"/>
      <c r="W260" s="1675"/>
      <c r="X260" s="1675"/>
      <c r="Y260" s="1675"/>
      <c r="Z260" s="1675"/>
      <c r="AA260" s="1675"/>
    </row>
    <row r="261" spans="1:27" ht="13.5" customHeight="1" x14ac:dyDescent="0.3">
      <c r="A261" s="1675"/>
      <c r="B261" s="1675"/>
      <c r="C261" s="1678"/>
      <c r="D261" s="1771"/>
      <c r="E261" s="1771"/>
      <c r="F261" s="1771"/>
      <c r="G261" s="1689"/>
      <c r="H261" s="1674"/>
      <c r="I261" s="1675"/>
      <c r="J261" s="1675"/>
      <c r="K261" s="1675"/>
      <c r="L261" s="1675"/>
      <c r="M261" s="1676"/>
      <c r="N261" s="1676"/>
      <c r="O261" s="1676"/>
      <c r="P261" s="1675"/>
      <c r="Q261" s="1675"/>
      <c r="R261" s="1675"/>
      <c r="S261" s="1675"/>
      <c r="T261" s="1675"/>
      <c r="U261" s="1675"/>
      <c r="V261" s="1675"/>
      <c r="W261" s="1675"/>
      <c r="X261" s="1675"/>
      <c r="Y261" s="1675"/>
      <c r="Z261" s="1675"/>
      <c r="AA261" s="1675"/>
    </row>
    <row r="262" spans="1:27" ht="13.5" customHeight="1" x14ac:dyDescent="0.3">
      <c r="A262" s="1675"/>
      <c r="B262" s="1675"/>
      <c r="C262" s="1678"/>
      <c r="D262" s="1771"/>
      <c r="E262" s="1771"/>
      <c r="F262" s="1771"/>
      <c r="G262" s="1689"/>
      <c r="H262" s="1674"/>
      <c r="I262" s="1675"/>
      <c r="J262" s="1675"/>
      <c r="K262" s="1675"/>
      <c r="L262" s="1675"/>
      <c r="M262" s="1676"/>
      <c r="N262" s="1676"/>
      <c r="O262" s="1676"/>
      <c r="P262" s="1675"/>
      <c r="Q262" s="1675"/>
      <c r="R262" s="1675"/>
      <c r="S262" s="1675"/>
      <c r="T262" s="1675"/>
      <c r="U262" s="1675"/>
      <c r="V262" s="1675"/>
      <c r="W262" s="1675"/>
      <c r="X262" s="1675"/>
      <c r="Y262" s="1675"/>
      <c r="Z262" s="1675"/>
      <c r="AA262" s="1675"/>
    </row>
    <row r="263" spans="1:27" ht="13.5" customHeight="1" x14ac:dyDescent="0.3">
      <c r="A263" s="1675"/>
      <c r="B263" s="1675"/>
      <c r="C263" s="1678"/>
      <c r="D263" s="1771"/>
      <c r="E263" s="1771"/>
      <c r="F263" s="1771"/>
      <c r="G263" s="1689"/>
      <c r="H263" s="1674"/>
      <c r="I263" s="1675"/>
      <c r="J263" s="1675"/>
      <c r="K263" s="1675"/>
      <c r="L263" s="1675"/>
      <c r="M263" s="1676"/>
      <c r="N263" s="1676"/>
      <c r="O263" s="1676"/>
      <c r="P263" s="1675"/>
      <c r="Q263" s="1675"/>
      <c r="R263" s="1675"/>
      <c r="S263" s="1675"/>
      <c r="T263" s="1675"/>
      <c r="U263" s="1675"/>
      <c r="V263" s="1675"/>
      <c r="W263" s="1675"/>
      <c r="X263" s="1675"/>
      <c r="Y263" s="1675"/>
      <c r="Z263" s="1675"/>
      <c r="AA263" s="1675"/>
    </row>
    <row r="264" spans="1:27" ht="13.5" customHeight="1" x14ac:dyDescent="0.3">
      <c r="A264" s="1675"/>
      <c r="B264" s="1675"/>
      <c r="C264" s="1678"/>
      <c r="D264" s="1771"/>
      <c r="E264" s="1771"/>
      <c r="F264" s="1771"/>
      <c r="G264" s="1689"/>
      <c r="H264" s="1674"/>
      <c r="I264" s="1675"/>
      <c r="J264" s="1675"/>
      <c r="K264" s="1675"/>
      <c r="L264" s="1675"/>
      <c r="M264" s="1676"/>
      <c r="N264" s="1676"/>
      <c r="O264" s="1676"/>
      <c r="P264" s="1675"/>
      <c r="Q264" s="1675"/>
      <c r="R264" s="1675"/>
      <c r="S264" s="1675"/>
      <c r="T264" s="1675"/>
      <c r="U264" s="1675"/>
      <c r="V264" s="1675"/>
      <c r="W264" s="1675"/>
      <c r="X264" s="1675"/>
      <c r="Y264" s="1675"/>
      <c r="Z264" s="1675"/>
      <c r="AA264" s="1675"/>
    </row>
    <row r="265" spans="1:27" ht="13.5" customHeight="1" x14ac:dyDescent="0.3">
      <c r="A265" s="1675"/>
      <c r="B265" s="1675"/>
      <c r="C265" s="1678"/>
      <c r="D265" s="1771"/>
      <c r="E265" s="1771"/>
      <c r="F265" s="1771"/>
      <c r="G265" s="1689"/>
      <c r="H265" s="1674"/>
      <c r="I265" s="1675"/>
      <c r="J265" s="1675"/>
      <c r="K265" s="1675"/>
      <c r="L265" s="1675"/>
      <c r="M265" s="1676"/>
      <c r="N265" s="1676"/>
      <c r="O265" s="1676"/>
      <c r="P265" s="1675"/>
      <c r="Q265" s="1675"/>
      <c r="R265" s="1675"/>
      <c r="S265" s="1675"/>
      <c r="T265" s="1675"/>
      <c r="U265" s="1675"/>
      <c r="V265" s="1675"/>
      <c r="W265" s="1675"/>
      <c r="X265" s="1675"/>
      <c r="Y265" s="1675"/>
      <c r="Z265" s="1675"/>
      <c r="AA265" s="1675"/>
    </row>
    <row r="266" spans="1:27" ht="13.5" customHeight="1" x14ac:dyDescent="0.3">
      <c r="A266" s="1675"/>
      <c r="B266" s="1675"/>
      <c r="C266" s="1678"/>
      <c r="D266" s="1771"/>
      <c r="E266" s="1771"/>
      <c r="F266" s="1771"/>
      <c r="G266" s="1689"/>
      <c r="H266" s="1674"/>
      <c r="I266" s="1675"/>
      <c r="J266" s="1675"/>
      <c r="K266" s="1675"/>
      <c r="L266" s="1675"/>
      <c r="M266" s="1676"/>
      <c r="N266" s="1676"/>
      <c r="O266" s="1676"/>
      <c r="P266" s="1675"/>
      <c r="Q266" s="1675"/>
      <c r="R266" s="1675"/>
      <c r="S266" s="1675"/>
      <c r="T266" s="1675"/>
      <c r="U266" s="1675"/>
      <c r="V266" s="1675"/>
      <c r="W266" s="1675"/>
      <c r="X266" s="1675"/>
      <c r="Y266" s="1675"/>
      <c r="Z266" s="1675"/>
      <c r="AA266" s="1675"/>
    </row>
    <row r="267" spans="1:27" ht="13.5" customHeight="1" x14ac:dyDescent="0.3">
      <c r="A267" s="1675"/>
      <c r="B267" s="1675"/>
      <c r="C267" s="1678"/>
      <c r="D267" s="1771"/>
      <c r="E267" s="1771"/>
      <c r="F267" s="1771"/>
      <c r="G267" s="1689"/>
      <c r="H267" s="1674"/>
      <c r="I267" s="1675"/>
      <c r="J267" s="1675"/>
      <c r="K267" s="1675"/>
      <c r="L267" s="1675"/>
      <c r="M267" s="1676"/>
      <c r="N267" s="1676"/>
      <c r="O267" s="1676"/>
      <c r="P267" s="1675"/>
      <c r="Q267" s="1675"/>
      <c r="R267" s="1675"/>
      <c r="S267" s="1675"/>
      <c r="T267" s="1675"/>
      <c r="U267" s="1675"/>
      <c r="V267" s="1675"/>
      <c r="W267" s="1675"/>
      <c r="X267" s="1675"/>
      <c r="Y267" s="1675"/>
      <c r="Z267" s="1675"/>
      <c r="AA267" s="1675"/>
    </row>
    <row r="268" spans="1:27" ht="13.5" customHeight="1" x14ac:dyDescent="0.3">
      <c r="A268" s="1675"/>
      <c r="B268" s="1675"/>
      <c r="C268" s="1678"/>
      <c r="D268" s="1771"/>
      <c r="E268" s="1771"/>
      <c r="F268" s="1771"/>
      <c r="G268" s="1689"/>
      <c r="H268" s="1674"/>
      <c r="I268" s="1675"/>
      <c r="J268" s="1675"/>
      <c r="K268" s="1675"/>
      <c r="L268" s="1675"/>
      <c r="M268" s="1676"/>
      <c r="N268" s="1676"/>
      <c r="O268" s="1676"/>
      <c r="P268" s="1675"/>
      <c r="Q268" s="1675"/>
      <c r="R268" s="1675"/>
      <c r="S268" s="1675"/>
      <c r="T268" s="1675"/>
      <c r="U268" s="1675"/>
      <c r="V268" s="1675"/>
      <c r="W268" s="1675"/>
      <c r="X268" s="1675"/>
      <c r="Y268" s="1675"/>
      <c r="Z268" s="1675"/>
      <c r="AA268" s="1675"/>
    </row>
    <row r="269" spans="1:27" ht="13.5" customHeight="1" x14ac:dyDescent="0.3">
      <c r="A269" s="1675"/>
      <c r="B269" s="1675"/>
      <c r="C269" s="1678"/>
      <c r="D269" s="1771"/>
      <c r="E269" s="1771"/>
      <c r="F269" s="1771"/>
      <c r="G269" s="1689"/>
      <c r="H269" s="1674"/>
      <c r="I269" s="1675"/>
      <c r="J269" s="1675"/>
      <c r="K269" s="1675"/>
      <c r="L269" s="1675"/>
      <c r="M269" s="1676"/>
      <c r="N269" s="1676"/>
      <c r="O269" s="1676"/>
      <c r="P269" s="1675"/>
      <c r="Q269" s="1675"/>
      <c r="R269" s="1675"/>
      <c r="S269" s="1675"/>
      <c r="T269" s="1675"/>
      <c r="U269" s="1675"/>
      <c r="V269" s="1675"/>
      <c r="W269" s="1675"/>
      <c r="X269" s="1675"/>
      <c r="Y269" s="1675"/>
      <c r="Z269" s="1675"/>
      <c r="AA269" s="1675"/>
    </row>
    <row r="270" spans="1:27" ht="13.5" customHeight="1" x14ac:dyDescent="0.3">
      <c r="A270" s="1675"/>
      <c r="B270" s="1675"/>
      <c r="C270" s="1678"/>
      <c r="D270" s="1771"/>
      <c r="E270" s="1771"/>
      <c r="F270" s="1771"/>
      <c r="G270" s="1689"/>
      <c r="H270" s="1674"/>
      <c r="I270" s="1675"/>
      <c r="J270" s="1675"/>
      <c r="K270" s="1675"/>
      <c r="L270" s="1675"/>
      <c r="M270" s="1676"/>
      <c r="N270" s="1676"/>
      <c r="O270" s="1676"/>
      <c r="P270" s="1675"/>
      <c r="Q270" s="1675"/>
      <c r="R270" s="1675"/>
      <c r="S270" s="1675"/>
      <c r="T270" s="1675"/>
      <c r="U270" s="1675"/>
      <c r="V270" s="1675"/>
      <c r="W270" s="1675"/>
      <c r="X270" s="1675"/>
      <c r="Y270" s="1675"/>
      <c r="Z270" s="1675"/>
      <c r="AA270" s="1675"/>
    </row>
    <row r="271" spans="1:27" ht="13.5" customHeight="1" x14ac:dyDescent="0.3">
      <c r="A271" s="1675"/>
      <c r="B271" s="1675"/>
      <c r="C271" s="1678"/>
      <c r="D271" s="1771"/>
      <c r="E271" s="1771"/>
      <c r="F271" s="1771"/>
      <c r="G271" s="1689"/>
      <c r="H271" s="1674"/>
      <c r="I271" s="1675"/>
      <c r="J271" s="1675"/>
      <c r="K271" s="1675"/>
      <c r="L271" s="1675"/>
      <c r="M271" s="1676"/>
      <c r="N271" s="1676"/>
      <c r="O271" s="1676"/>
      <c r="P271" s="1675"/>
      <c r="Q271" s="1675"/>
      <c r="R271" s="1675"/>
      <c r="S271" s="1675"/>
      <c r="T271" s="1675"/>
      <c r="U271" s="1675"/>
      <c r="V271" s="1675"/>
      <c r="W271" s="1675"/>
      <c r="X271" s="1675"/>
      <c r="Y271" s="1675"/>
      <c r="Z271" s="1675"/>
      <c r="AA271" s="1675"/>
    </row>
    <row r="272" spans="1:27" ht="13.5" customHeight="1" x14ac:dyDescent="0.3">
      <c r="A272" s="1675"/>
      <c r="B272" s="1675"/>
      <c r="C272" s="1678"/>
      <c r="D272" s="1771"/>
      <c r="E272" s="1771"/>
      <c r="F272" s="1771"/>
      <c r="G272" s="1689"/>
      <c r="H272" s="1674"/>
      <c r="I272" s="1675"/>
      <c r="J272" s="1675"/>
      <c r="K272" s="1675"/>
      <c r="L272" s="1675"/>
      <c r="M272" s="1676"/>
      <c r="N272" s="1676"/>
      <c r="O272" s="1676"/>
      <c r="P272" s="1675"/>
      <c r="Q272" s="1675"/>
      <c r="R272" s="1675"/>
      <c r="S272" s="1675"/>
      <c r="T272" s="1675"/>
      <c r="U272" s="1675"/>
      <c r="V272" s="1675"/>
      <c r="W272" s="1675"/>
      <c r="X272" s="1675"/>
      <c r="Y272" s="1675"/>
      <c r="Z272" s="1675"/>
      <c r="AA272" s="1675"/>
    </row>
    <row r="273" spans="1:27" ht="13.5" customHeight="1" x14ac:dyDescent="0.3">
      <c r="A273" s="1675"/>
      <c r="B273" s="1675"/>
      <c r="C273" s="1678"/>
      <c r="D273" s="1771"/>
      <c r="E273" s="1771"/>
      <c r="F273" s="1771"/>
      <c r="G273" s="1689"/>
      <c r="H273" s="1674"/>
      <c r="I273" s="1675"/>
      <c r="J273" s="1675"/>
      <c r="K273" s="1675"/>
      <c r="L273" s="1675"/>
      <c r="M273" s="1676"/>
      <c r="N273" s="1676"/>
      <c r="O273" s="1676"/>
      <c r="P273" s="1675"/>
      <c r="Q273" s="1675"/>
      <c r="R273" s="1675"/>
      <c r="S273" s="1675"/>
      <c r="T273" s="1675"/>
      <c r="U273" s="1675"/>
      <c r="V273" s="1675"/>
      <c r="W273" s="1675"/>
      <c r="X273" s="1675"/>
      <c r="Y273" s="1675"/>
      <c r="Z273" s="1675"/>
      <c r="AA273" s="1675"/>
    </row>
    <row r="274" spans="1:27" ht="13.5" customHeight="1" x14ac:dyDescent="0.3">
      <c r="A274" s="1675"/>
      <c r="B274" s="1675"/>
      <c r="C274" s="1678"/>
      <c r="D274" s="1771"/>
      <c r="E274" s="1771"/>
      <c r="F274" s="1771"/>
      <c r="G274" s="1689"/>
      <c r="H274" s="1674"/>
      <c r="I274" s="1675"/>
      <c r="J274" s="1675"/>
      <c r="K274" s="1675"/>
      <c r="L274" s="1675"/>
      <c r="M274" s="1676"/>
      <c r="N274" s="1676"/>
      <c r="O274" s="1676"/>
      <c r="P274" s="1675"/>
      <c r="Q274" s="1675"/>
      <c r="R274" s="1675"/>
      <c r="S274" s="1675"/>
      <c r="T274" s="1675"/>
      <c r="U274" s="1675"/>
      <c r="V274" s="1675"/>
      <c r="W274" s="1675"/>
      <c r="X274" s="1675"/>
      <c r="Y274" s="1675"/>
      <c r="Z274" s="1675"/>
      <c r="AA274" s="1675"/>
    </row>
    <row r="275" spans="1:27" ht="13.5" customHeight="1" x14ac:dyDescent="0.3">
      <c r="A275" s="1675"/>
      <c r="B275" s="1675"/>
      <c r="C275" s="1678"/>
      <c r="D275" s="1771"/>
      <c r="E275" s="1771"/>
      <c r="F275" s="1771"/>
      <c r="G275" s="1689"/>
      <c r="H275" s="1674"/>
      <c r="I275" s="1675"/>
      <c r="J275" s="1675"/>
      <c r="K275" s="1675"/>
      <c r="L275" s="1675"/>
      <c r="M275" s="1676"/>
      <c r="N275" s="1676"/>
      <c r="O275" s="1676"/>
      <c r="P275" s="1675"/>
      <c r="Q275" s="1675"/>
      <c r="R275" s="1675"/>
      <c r="S275" s="1675"/>
      <c r="T275" s="1675"/>
      <c r="U275" s="1675"/>
      <c r="V275" s="1675"/>
      <c r="W275" s="1675"/>
      <c r="X275" s="1675"/>
      <c r="Y275" s="1675"/>
      <c r="Z275" s="1675"/>
      <c r="AA275" s="1675"/>
    </row>
    <row r="276" spans="1:27" ht="13.5" customHeight="1" x14ac:dyDescent="0.3">
      <c r="A276" s="1675"/>
      <c r="B276" s="1675"/>
      <c r="C276" s="1678"/>
      <c r="D276" s="1771"/>
      <c r="E276" s="1771"/>
      <c r="F276" s="1771"/>
      <c r="G276" s="1689"/>
      <c r="H276" s="1674"/>
      <c r="I276" s="1675"/>
      <c r="J276" s="1675"/>
      <c r="K276" s="1675"/>
      <c r="L276" s="1675"/>
      <c r="M276" s="1676"/>
      <c r="N276" s="1676"/>
      <c r="O276" s="1676"/>
      <c r="P276" s="1675"/>
      <c r="Q276" s="1675"/>
      <c r="R276" s="1675"/>
      <c r="S276" s="1675"/>
      <c r="T276" s="1675"/>
      <c r="U276" s="1675"/>
      <c r="V276" s="1675"/>
      <c r="W276" s="1675"/>
      <c r="X276" s="1675"/>
      <c r="Y276" s="1675"/>
      <c r="Z276" s="1675"/>
      <c r="AA276" s="1675"/>
    </row>
    <row r="277" spans="1:27" ht="13.5" customHeight="1" x14ac:dyDescent="0.3">
      <c r="A277" s="1675"/>
      <c r="B277" s="1675"/>
      <c r="C277" s="1678"/>
      <c r="D277" s="1771"/>
      <c r="E277" s="1771"/>
      <c r="F277" s="1771"/>
      <c r="G277" s="1689"/>
      <c r="H277" s="1674"/>
      <c r="I277" s="1675"/>
      <c r="J277" s="1675"/>
      <c r="K277" s="1675"/>
      <c r="L277" s="1675"/>
      <c r="M277" s="1676"/>
      <c r="N277" s="1676"/>
      <c r="O277" s="1676"/>
      <c r="P277" s="1675"/>
      <c r="Q277" s="1675"/>
      <c r="R277" s="1675"/>
      <c r="S277" s="1675"/>
      <c r="T277" s="1675"/>
      <c r="U277" s="1675"/>
      <c r="V277" s="1675"/>
      <c r="W277" s="1675"/>
      <c r="X277" s="1675"/>
      <c r="Y277" s="1675"/>
      <c r="Z277" s="1675"/>
      <c r="AA277" s="1675"/>
    </row>
    <row r="278" spans="1:27" ht="13.5" customHeight="1" x14ac:dyDescent="0.3">
      <c r="A278" s="1675"/>
      <c r="B278" s="1675"/>
      <c r="C278" s="1678"/>
      <c r="D278" s="1771"/>
      <c r="E278" s="1771"/>
      <c r="F278" s="1771"/>
      <c r="G278" s="1689"/>
      <c r="H278" s="1674"/>
      <c r="I278" s="1675"/>
      <c r="J278" s="1675"/>
      <c r="K278" s="1675"/>
      <c r="L278" s="1675"/>
      <c r="M278" s="1676"/>
      <c r="N278" s="1676"/>
      <c r="O278" s="1676"/>
      <c r="P278" s="1675"/>
      <c r="Q278" s="1675"/>
      <c r="R278" s="1675"/>
      <c r="S278" s="1675"/>
      <c r="T278" s="1675"/>
      <c r="U278" s="1675"/>
      <c r="V278" s="1675"/>
      <c r="W278" s="1675"/>
      <c r="X278" s="1675"/>
      <c r="Y278" s="1675"/>
      <c r="Z278" s="1675"/>
      <c r="AA278" s="1675"/>
    </row>
    <row r="279" spans="1:27" ht="13.5" customHeight="1" x14ac:dyDescent="0.3">
      <c r="A279" s="1675"/>
      <c r="B279" s="1675"/>
      <c r="C279" s="1678"/>
      <c r="D279" s="1771"/>
      <c r="E279" s="1771"/>
      <c r="F279" s="1771"/>
      <c r="G279" s="1689"/>
      <c r="H279" s="1674"/>
      <c r="I279" s="1675"/>
      <c r="J279" s="1675"/>
      <c r="K279" s="1675"/>
      <c r="L279" s="1675"/>
      <c r="M279" s="1676"/>
      <c r="N279" s="1676"/>
      <c r="O279" s="1676"/>
      <c r="P279" s="1675"/>
      <c r="Q279" s="1675"/>
      <c r="R279" s="1675"/>
      <c r="S279" s="1675"/>
      <c r="T279" s="1675"/>
      <c r="U279" s="1675"/>
      <c r="V279" s="1675"/>
      <c r="W279" s="1675"/>
      <c r="X279" s="1675"/>
      <c r="Y279" s="1675"/>
      <c r="Z279" s="1675"/>
      <c r="AA279" s="1675"/>
    </row>
    <row r="280" spans="1:27" ht="13.5" customHeight="1" x14ac:dyDescent="0.3">
      <c r="A280" s="1675"/>
      <c r="B280" s="1675"/>
      <c r="C280" s="1678"/>
      <c r="D280" s="1771"/>
      <c r="E280" s="1771"/>
      <c r="F280" s="1771"/>
      <c r="G280" s="1689"/>
      <c r="H280" s="1674"/>
      <c r="I280" s="1675"/>
      <c r="J280" s="1675"/>
      <c r="K280" s="1675"/>
      <c r="L280" s="1675"/>
      <c r="M280" s="1676"/>
      <c r="N280" s="1676"/>
      <c r="O280" s="1676"/>
      <c r="P280" s="1675"/>
      <c r="Q280" s="1675"/>
      <c r="R280" s="1675"/>
      <c r="S280" s="1675"/>
      <c r="T280" s="1675"/>
      <c r="U280" s="1675"/>
      <c r="V280" s="1675"/>
      <c r="W280" s="1675"/>
      <c r="X280" s="1675"/>
      <c r="Y280" s="1675"/>
      <c r="Z280" s="1675"/>
      <c r="AA280" s="1675"/>
    </row>
    <row r="281" spans="1:27" ht="13.5" customHeight="1" x14ac:dyDescent="0.3">
      <c r="A281" s="1675"/>
      <c r="B281" s="1675"/>
      <c r="C281" s="1678"/>
      <c r="D281" s="1771"/>
      <c r="E281" s="1771"/>
      <c r="F281" s="1771"/>
      <c r="G281" s="1689"/>
      <c r="H281" s="1674"/>
      <c r="I281" s="1675"/>
      <c r="J281" s="1675"/>
      <c r="K281" s="1675"/>
      <c r="L281" s="1675"/>
      <c r="M281" s="1676"/>
      <c r="N281" s="1676"/>
      <c r="O281" s="1676"/>
      <c r="P281" s="1675"/>
      <c r="Q281" s="1675"/>
      <c r="R281" s="1675"/>
      <c r="S281" s="1675"/>
      <c r="T281" s="1675"/>
      <c r="U281" s="1675"/>
      <c r="V281" s="1675"/>
      <c r="W281" s="1675"/>
      <c r="X281" s="1675"/>
      <c r="Y281" s="1675"/>
      <c r="Z281" s="1675"/>
      <c r="AA281" s="1675"/>
    </row>
    <row r="282" spans="1:27" ht="13.5" customHeight="1" x14ac:dyDescent="0.3">
      <c r="A282" s="1675"/>
      <c r="B282" s="1675"/>
      <c r="C282" s="1678"/>
      <c r="D282" s="1771"/>
      <c r="E282" s="1771"/>
      <c r="F282" s="1771"/>
      <c r="G282" s="1689"/>
      <c r="H282" s="1674"/>
      <c r="I282" s="1675"/>
      <c r="J282" s="1675"/>
      <c r="K282" s="1675"/>
      <c r="L282" s="1675"/>
      <c r="M282" s="1676"/>
      <c r="N282" s="1676"/>
      <c r="O282" s="1676"/>
      <c r="P282" s="1675"/>
      <c r="Q282" s="1675"/>
      <c r="R282" s="1675"/>
      <c r="S282" s="1675"/>
      <c r="T282" s="1675"/>
      <c r="U282" s="1675"/>
      <c r="V282" s="1675"/>
      <c r="W282" s="1675"/>
      <c r="X282" s="1675"/>
      <c r="Y282" s="1675"/>
      <c r="Z282" s="1675"/>
      <c r="AA282" s="1675"/>
    </row>
    <row r="283" spans="1:27" ht="13.5" customHeight="1" x14ac:dyDescent="0.3">
      <c r="A283" s="1675"/>
      <c r="B283" s="1675"/>
      <c r="C283" s="1678"/>
      <c r="D283" s="1771"/>
      <c r="E283" s="1771"/>
      <c r="F283" s="1771"/>
      <c r="G283" s="1689"/>
      <c r="H283" s="1674"/>
      <c r="I283" s="1675"/>
      <c r="J283" s="1675"/>
      <c r="K283" s="1675"/>
      <c r="L283" s="1675"/>
      <c r="M283" s="1676"/>
      <c r="N283" s="1676"/>
      <c r="O283" s="1676"/>
      <c r="P283" s="1675"/>
      <c r="Q283" s="1675"/>
      <c r="R283" s="1675"/>
      <c r="S283" s="1675"/>
      <c r="T283" s="1675"/>
      <c r="U283" s="1675"/>
      <c r="V283" s="1675"/>
      <c r="W283" s="1675"/>
      <c r="X283" s="1675"/>
      <c r="Y283" s="1675"/>
      <c r="Z283" s="1675"/>
      <c r="AA283" s="1675"/>
    </row>
    <row r="284" spans="1:27" ht="13.5" customHeight="1" x14ac:dyDescent="0.3">
      <c r="A284" s="1675"/>
      <c r="B284" s="1675"/>
      <c r="C284" s="1678"/>
      <c r="D284" s="1771"/>
      <c r="E284" s="1771"/>
      <c r="F284" s="1771"/>
      <c r="G284" s="1689"/>
      <c r="H284" s="1674"/>
      <c r="I284" s="1675"/>
      <c r="J284" s="1675"/>
      <c r="K284" s="1675"/>
      <c r="L284" s="1675"/>
      <c r="M284" s="1676"/>
      <c r="N284" s="1676"/>
      <c r="O284" s="1676"/>
      <c r="P284" s="1675"/>
      <c r="Q284" s="1675"/>
      <c r="R284" s="1675"/>
      <c r="S284" s="1675"/>
      <c r="T284" s="1675"/>
      <c r="U284" s="1675"/>
      <c r="V284" s="1675"/>
      <c r="W284" s="1675"/>
      <c r="X284" s="1675"/>
      <c r="Y284" s="1675"/>
      <c r="Z284" s="1675"/>
      <c r="AA284" s="1675"/>
    </row>
    <row r="285" spans="1:27" ht="13.5" customHeight="1" x14ac:dyDescent="0.3">
      <c r="A285" s="1675"/>
      <c r="B285" s="1675"/>
      <c r="C285" s="1678"/>
      <c r="D285" s="1771"/>
      <c r="E285" s="1771"/>
      <c r="F285" s="1771"/>
      <c r="G285" s="1689"/>
      <c r="H285" s="1674"/>
      <c r="I285" s="1675"/>
      <c r="J285" s="1675"/>
      <c r="K285" s="1675"/>
      <c r="L285" s="1675"/>
      <c r="M285" s="1676"/>
      <c r="N285" s="1676"/>
      <c r="O285" s="1676"/>
      <c r="P285" s="1675"/>
      <c r="Q285" s="1675"/>
      <c r="R285" s="1675"/>
      <c r="S285" s="1675"/>
      <c r="T285" s="1675"/>
      <c r="U285" s="1675"/>
      <c r="V285" s="1675"/>
      <c r="W285" s="1675"/>
      <c r="X285" s="1675"/>
      <c r="Y285" s="1675"/>
      <c r="Z285" s="1675"/>
      <c r="AA285" s="1675"/>
    </row>
    <row r="286" spans="1:27" ht="13.5" customHeight="1" x14ac:dyDescent="0.3">
      <c r="A286" s="1675"/>
      <c r="B286" s="1675"/>
      <c r="C286" s="1678"/>
      <c r="D286" s="1771"/>
      <c r="E286" s="1771"/>
      <c r="F286" s="1771"/>
      <c r="G286" s="1689"/>
      <c r="H286" s="1674"/>
      <c r="I286" s="1675"/>
      <c r="J286" s="1675"/>
      <c r="K286" s="1675"/>
      <c r="L286" s="1675"/>
      <c r="M286" s="1676"/>
      <c r="N286" s="1676"/>
      <c r="O286" s="1676"/>
      <c r="P286" s="1675"/>
      <c r="Q286" s="1675"/>
      <c r="R286" s="1675"/>
      <c r="S286" s="1675"/>
      <c r="T286" s="1675"/>
      <c r="U286" s="1675"/>
      <c r="V286" s="1675"/>
      <c r="W286" s="1675"/>
      <c r="X286" s="1675"/>
      <c r="Y286" s="1675"/>
      <c r="Z286" s="1675"/>
      <c r="AA286" s="1675"/>
    </row>
    <row r="287" spans="1:27" ht="13.5" customHeight="1" x14ac:dyDescent="0.3">
      <c r="A287" s="1675"/>
      <c r="B287" s="1675"/>
      <c r="C287" s="1678"/>
      <c r="D287" s="1771"/>
      <c r="E287" s="1771"/>
      <c r="F287" s="1771"/>
      <c r="G287" s="1689"/>
      <c r="H287" s="1674"/>
      <c r="I287" s="1675"/>
      <c r="J287" s="1675"/>
      <c r="K287" s="1675"/>
      <c r="L287" s="1675"/>
      <c r="M287" s="1676"/>
      <c r="N287" s="1676"/>
      <c r="O287" s="1676"/>
      <c r="P287" s="1675"/>
      <c r="Q287" s="1675"/>
      <c r="R287" s="1675"/>
      <c r="S287" s="1675"/>
      <c r="T287" s="1675"/>
      <c r="U287" s="1675"/>
      <c r="V287" s="1675"/>
      <c r="W287" s="1675"/>
      <c r="X287" s="1675"/>
      <c r="Y287" s="1675"/>
      <c r="Z287" s="1675"/>
      <c r="AA287" s="1675"/>
    </row>
    <row r="288" spans="1:27" ht="13.5" customHeight="1" x14ac:dyDescent="0.3">
      <c r="A288" s="1675"/>
      <c r="B288" s="1675"/>
      <c r="C288" s="1678"/>
      <c r="D288" s="1771"/>
      <c r="E288" s="1771"/>
      <c r="F288" s="1771"/>
      <c r="G288" s="1689"/>
      <c r="H288" s="1674"/>
      <c r="I288" s="1675"/>
      <c r="J288" s="1675"/>
      <c r="K288" s="1675"/>
      <c r="L288" s="1675"/>
      <c r="M288" s="1676"/>
      <c r="N288" s="1676"/>
      <c r="O288" s="1676"/>
      <c r="P288" s="1675"/>
      <c r="Q288" s="1675"/>
      <c r="R288" s="1675"/>
      <c r="S288" s="1675"/>
      <c r="T288" s="1675"/>
      <c r="U288" s="1675"/>
      <c r="V288" s="1675"/>
      <c r="W288" s="1675"/>
      <c r="X288" s="1675"/>
      <c r="Y288" s="1675"/>
      <c r="Z288" s="1675"/>
      <c r="AA288" s="1675"/>
    </row>
    <row r="289" spans="1:27" ht="13.5" customHeight="1" x14ac:dyDescent="0.3">
      <c r="A289" s="1675"/>
      <c r="B289" s="1675"/>
      <c r="C289" s="1678"/>
      <c r="D289" s="1771"/>
      <c r="E289" s="1771"/>
      <c r="F289" s="1771"/>
      <c r="G289" s="1689"/>
      <c r="H289" s="1674"/>
      <c r="I289" s="1675"/>
      <c r="J289" s="1675"/>
      <c r="K289" s="1675"/>
      <c r="L289" s="1675"/>
      <c r="M289" s="1676"/>
      <c r="N289" s="1676"/>
      <c r="O289" s="1676"/>
      <c r="P289" s="1675"/>
      <c r="Q289" s="1675"/>
      <c r="R289" s="1675"/>
      <c r="S289" s="1675"/>
      <c r="T289" s="1675"/>
      <c r="U289" s="1675"/>
      <c r="V289" s="1675"/>
      <c r="W289" s="1675"/>
      <c r="X289" s="1675"/>
      <c r="Y289" s="1675"/>
      <c r="Z289" s="1675"/>
      <c r="AA289" s="1675"/>
    </row>
    <row r="290" spans="1:27" ht="13.5" customHeight="1" x14ac:dyDescent="0.3">
      <c r="A290" s="1675"/>
      <c r="B290" s="1675"/>
      <c r="C290" s="1678"/>
      <c r="D290" s="1771"/>
      <c r="E290" s="1771"/>
      <c r="F290" s="1771"/>
      <c r="G290" s="1689"/>
      <c r="H290" s="1674"/>
      <c r="I290" s="1675"/>
      <c r="J290" s="1675"/>
      <c r="K290" s="1675"/>
      <c r="L290" s="1675"/>
      <c r="M290" s="1676"/>
      <c r="N290" s="1676"/>
      <c r="O290" s="1676"/>
      <c r="P290" s="1675"/>
      <c r="Q290" s="1675"/>
      <c r="R290" s="1675"/>
      <c r="S290" s="1675"/>
      <c r="T290" s="1675"/>
      <c r="U290" s="1675"/>
      <c r="V290" s="1675"/>
      <c r="W290" s="1675"/>
      <c r="X290" s="1675"/>
      <c r="Y290" s="1675"/>
      <c r="Z290" s="1675"/>
      <c r="AA290" s="1675"/>
    </row>
    <row r="291" spans="1:27" ht="13.5" customHeight="1" x14ac:dyDescent="0.3">
      <c r="A291" s="1675"/>
      <c r="B291" s="1675"/>
      <c r="C291" s="1678"/>
      <c r="D291" s="1771"/>
      <c r="E291" s="1771"/>
      <c r="F291" s="1771"/>
      <c r="G291" s="1689"/>
      <c r="H291" s="1674"/>
      <c r="I291" s="1675"/>
      <c r="J291" s="1675"/>
      <c r="K291" s="1675"/>
      <c r="L291" s="1675"/>
      <c r="M291" s="1676"/>
      <c r="N291" s="1676"/>
      <c r="O291" s="1676"/>
      <c r="P291" s="1675"/>
      <c r="Q291" s="1675"/>
      <c r="R291" s="1675"/>
      <c r="S291" s="1675"/>
      <c r="T291" s="1675"/>
      <c r="U291" s="1675"/>
      <c r="V291" s="1675"/>
      <c r="W291" s="1675"/>
      <c r="X291" s="1675"/>
      <c r="Y291" s="1675"/>
      <c r="Z291" s="1675"/>
      <c r="AA291" s="1675"/>
    </row>
    <row r="292" spans="1:27" ht="13.5" customHeight="1" x14ac:dyDescent="0.3">
      <c r="A292" s="1675"/>
      <c r="B292" s="1675"/>
      <c r="C292" s="1678"/>
      <c r="D292" s="1771"/>
      <c r="E292" s="1771"/>
      <c r="F292" s="1771"/>
      <c r="G292" s="1689"/>
      <c r="H292" s="1674"/>
      <c r="I292" s="1675"/>
      <c r="J292" s="1675"/>
      <c r="K292" s="1675"/>
      <c r="L292" s="1675"/>
      <c r="M292" s="1676"/>
      <c r="N292" s="1676"/>
      <c r="O292" s="1676"/>
      <c r="P292" s="1675"/>
      <c r="Q292" s="1675"/>
      <c r="R292" s="1675"/>
      <c r="S292" s="1675"/>
      <c r="T292" s="1675"/>
      <c r="U292" s="1675"/>
      <c r="V292" s="1675"/>
      <c r="W292" s="1675"/>
      <c r="X292" s="1675"/>
      <c r="Y292" s="1675"/>
      <c r="Z292" s="1675"/>
      <c r="AA292" s="1675"/>
    </row>
    <row r="293" spans="1:27" ht="13.5" customHeight="1" x14ac:dyDescent="0.3">
      <c r="A293" s="1675"/>
      <c r="B293" s="1675"/>
      <c r="C293" s="1678"/>
      <c r="D293" s="1771"/>
      <c r="E293" s="1771"/>
      <c r="F293" s="1771"/>
      <c r="G293" s="1689"/>
      <c r="H293" s="1674"/>
      <c r="I293" s="1675"/>
      <c r="J293" s="1675"/>
      <c r="K293" s="1675"/>
      <c r="L293" s="1675"/>
      <c r="M293" s="1676"/>
      <c r="N293" s="1676"/>
      <c r="O293" s="1676"/>
      <c r="P293" s="1675"/>
      <c r="Q293" s="1675"/>
      <c r="R293" s="1675"/>
      <c r="S293" s="1675"/>
      <c r="T293" s="1675"/>
      <c r="U293" s="1675"/>
      <c r="V293" s="1675"/>
      <c r="W293" s="1675"/>
      <c r="X293" s="1675"/>
      <c r="Y293" s="1675"/>
      <c r="Z293" s="1675"/>
      <c r="AA293" s="1675"/>
    </row>
    <row r="294" spans="1:27" ht="13.5" customHeight="1" x14ac:dyDescent="0.3">
      <c r="A294" s="1675"/>
      <c r="B294" s="1675"/>
      <c r="C294" s="1678"/>
      <c r="D294" s="1771"/>
      <c r="E294" s="1771"/>
      <c r="F294" s="1771"/>
      <c r="G294" s="1689"/>
      <c r="H294" s="1674"/>
      <c r="I294" s="1675"/>
      <c r="J294" s="1675"/>
      <c r="K294" s="1675"/>
      <c r="L294" s="1675"/>
      <c r="M294" s="1676"/>
      <c r="N294" s="1676"/>
      <c r="O294" s="1676"/>
      <c r="P294" s="1675"/>
      <c r="Q294" s="1675"/>
      <c r="R294" s="1675"/>
      <c r="S294" s="1675"/>
      <c r="T294" s="1675"/>
      <c r="U294" s="1675"/>
      <c r="V294" s="1675"/>
      <c r="W294" s="1675"/>
      <c r="X294" s="1675"/>
      <c r="Y294" s="1675"/>
      <c r="Z294" s="1675"/>
      <c r="AA294" s="1675"/>
    </row>
    <row r="295" spans="1:27" ht="13.5" customHeight="1" x14ac:dyDescent="0.3">
      <c r="A295" s="1675"/>
      <c r="B295" s="1675"/>
      <c r="C295" s="1678"/>
      <c r="D295" s="1771"/>
      <c r="E295" s="1771"/>
      <c r="F295" s="1771"/>
      <c r="G295" s="1689"/>
      <c r="H295" s="1674"/>
      <c r="I295" s="1675"/>
      <c r="J295" s="1675"/>
      <c r="K295" s="1675"/>
      <c r="L295" s="1675"/>
      <c r="M295" s="1676"/>
      <c r="N295" s="1676"/>
      <c r="O295" s="1676"/>
      <c r="P295" s="1675"/>
      <c r="Q295" s="1675"/>
      <c r="R295" s="1675"/>
      <c r="S295" s="1675"/>
      <c r="T295" s="1675"/>
      <c r="U295" s="1675"/>
      <c r="V295" s="1675"/>
      <c r="W295" s="1675"/>
      <c r="X295" s="1675"/>
      <c r="Y295" s="1675"/>
      <c r="Z295" s="1675"/>
      <c r="AA295" s="1675"/>
    </row>
    <row r="296" spans="1:27" ht="13.5" customHeight="1" x14ac:dyDescent="0.3">
      <c r="A296" s="1675"/>
      <c r="B296" s="1675"/>
      <c r="C296" s="1678"/>
      <c r="D296" s="1771"/>
      <c r="E296" s="1771"/>
      <c r="F296" s="1771"/>
      <c r="G296" s="1689"/>
      <c r="H296" s="1674"/>
      <c r="I296" s="1675"/>
      <c r="J296" s="1675"/>
      <c r="K296" s="1675"/>
      <c r="L296" s="1675"/>
      <c r="M296" s="1676"/>
      <c r="N296" s="1676"/>
      <c r="O296" s="1676"/>
      <c r="P296" s="1675"/>
      <c r="Q296" s="1675"/>
      <c r="R296" s="1675"/>
      <c r="S296" s="1675"/>
      <c r="T296" s="1675"/>
      <c r="U296" s="1675"/>
      <c r="V296" s="1675"/>
      <c r="W296" s="1675"/>
      <c r="X296" s="1675"/>
      <c r="Y296" s="1675"/>
      <c r="Z296" s="1675"/>
      <c r="AA296" s="1675"/>
    </row>
    <row r="297" spans="1:27" ht="13.5" customHeight="1" x14ac:dyDescent="0.3">
      <c r="A297" s="1675"/>
      <c r="B297" s="1675"/>
      <c r="C297" s="1678"/>
      <c r="D297" s="1771"/>
      <c r="E297" s="1771"/>
      <c r="F297" s="1771"/>
      <c r="G297" s="1689"/>
      <c r="H297" s="1674"/>
      <c r="I297" s="1675"/>
      <c r="J297" s="1675"/>
      <c r="K297" s="1675"/>
      <c r="L297" s="1675"/>
      <c r="M297" s="1676"/>
      <c r="N297" s="1676"/>
      <c r="O297" s="1676"/>
      <c r="P297" s="1675"/>
      <c r="Q297" s="1675"/>
      <c r="R297" s="1675"/>
      <c r="S297" s="1675"/>
      <c r="T297" s="1675"/>
      <c r="U297" s="1675"/>
      <c r="V297" s="1675"/>
      <c r="W297" s="1675"/>
      <c r="X297" s="1675"/>
      <c r="Y297" s="1675"/>
      <c r="Z297" s="1675"/>
      <c r="AA297" s="1675"/>
    </row>
    <row r="298" spans="1:27" ht="13.5" customHeight="1" x14ac:dyDescent="0.3">
      <c r="A298" s="1675"/>
      <c r="B298" s="1675"/>
      <c r="C298" s="1678"/>
      <c r="D298" s="1771"/>
      <c r="E298" s="1771"/>
      <c r="F298" s="1771"/>
      <c r="G298" s="1689"/>
      <c r="H298" s="1674"/>
      <c r="I298" s="1675"/>
      <c r="J298" s="1675"/>
      <c r="K298" s="1675"/>
      <c r="L298" s="1675"/>
      <c r="M298" s="1676"/>
      <c r="N298" s="1676"/>
      <c r="O298" s="1676"/>
      <c r="P298" s="1675"/>
      <c r="Q298" s="1675"/>
      <c r="R298" s="1675"/>
      <c r="S298" s="1675"/>
      <c r="T298" s="1675"/>
      <c r="U298" s="1675"/>
      <c r="V298" s="1675"/>
      <c r="W298" s="1675"/>
      <c r="X298" s="1675"/>
      <c r="Y298" s="1675"/>
      <c r="Z298" s="1675"/>
      <c r="AA298" s="1675"/>
    </row>
    <row r="299" spans="1:27" ht="13.5" customHeight="1" x14ac:dyDescent="0.3">
      <c r="A299" s="1675"/>
      <c r="B299" s="1675"/>
      <c r="C299" s="1678"/>
      <c r="D299" s="1771"/>
      <c r="E299" s="1771"/>
      <c r="F299" s="1771"/>
      <c r="G299" s="1689"/>
      <c r="H299" s="1674"/>
      <c r="I299" s="1675"/>
      <c r="J299" s="1675"/>
      <c r="K299" s="1675"/>
      <c r="L299" s="1675"/>
      <c r="M299" s="1676"/>
      <c r="N299" s="1676"/>
      <c r="O299" s="1676"/>
      <c r="P299" s="1675"/>
      <c r="Q299" s="1675"/>
      <c r="R299" s="1675"/>
      <c r="S299" s="1675"/>
      <c r="T299" s="1675"/>
      <c r="U299" s="1675"/>
      <c r="V299" s="1675"/>
      <c r="W299" s="1675"/>
      <c r="X299" s="1675"/>
      <c r="Y299" s="1675"/>
      <c r="Z299" s="1675"/>
      <c r="AA299" s="1675"/>
    </row>
    <row r="300" spans="1:27" ht="13.5" customHeight="1" x14ac:dyDescent="0.3">
      <c r="A300" s="1675"/>
      <c r="B300" s="1675"/>
      <c r="C300" s="1678"/>
      <c r="D300" s="1771"/>
      <c r="E300" s="1771"/>
      <c r="F300" s="1771"/>
      <c r="G300" s="1689"/>
      <c r="H300" s="1674"/>
      <c r="I300" s="1675"/>
      <c r="J300" s="1675"/>
      <c r="K300" s="1675"/>
      <c r="L300" s="1675"/>
      <c r="M300" s="1676"/>
      <c r="N300" s="1676"/>
      <c r="O300" s="1676"/>
      <c r="P300" s="1675"/>
      <c r="Q300" s="1675"/>
      <c r="R300" s="1675"/>
      <c r="S300" s="1675"/>
      <c r="T300" s="1675"/>
      <c r="U300" s="1675"/>
      <c r="V300" s="1675"/>
      <c r="W300" s="1675"/>
      <c r="X300" s="1675"/>
      <c r="Y300" s="1675"/>
      <c r="Z300" s="1675"/>
      <c r="AA300" s="1675"/>
    </row>
    <row r="301" spans="1:27" ht="13.5" customHeight="1" x14ac:dyDescent="0.3">
      <c r="A301" s="1675"/>
      <c r="B301" s="1675"/>
      <c r="C301" s="1678"/>
      <c r="D301" s="1771"/>
      <c r="E301" s="1771"/>
      <c r="F301" s="1771"/>
      <c r="G301" s="1689"/>
      <c r="H301" s="1674"/>
      <c r="I301" s="1675"/>
      <c r="J301" s="1675"/>
      <c r="K301" s="1675"/>
      <c r="L301" s="1675"/>
      <c r="M301" s="1676"/>
      <c r="N301" s="1676"/>
      <c r="O301" s="1676"/>
      <c r="P301" s="1675"/>
      <c r="Q301" s="1675"/>
      <c r="R301" s="1675"/>
      <c r="S301" s="1675"/>
      <c r="T301" s="1675"/>
      <c r="U301" s="1675"/>
      <c r="V301" s="1675"/>
      <c r="W301" s="1675"/>
      <c r="X301" s="1675"/>
      <c r="Y301" s="1675"/>
      <c r="Z301" s="1675"/>
      <c r="AA301" s="1675"/>
    </row>
    <row r="302" spans="1:27" ht="13.5" customHeight="1" x14ac:dyDescent="0.3">
      <c r="A302" s="1675"/>
      <c r="B302" s="1675"/>
      <c r="C302" s="1678"/>
      <c r="D302" s="1771"/>
      <c r="E302" s="1771"/>
      <c r="F302" s="1771"/>
      <c r="G302" s="1689"/>
      <c r="H302" s="1674"/>
      <c r="I302" s="1675"/>
      <c r="J302" s="1675"/>
      <c r="K302" s="1675"/>
      <c r="L302" s="1675"/>
      <c r="M302" s="1676"/>
      <c r="N302" s="1676"/>
      <c r="O302" s="1676"/>
      <c r="P302" s="1675"/>
      <c r="Q302" s="1675"/>
      <c r="R302" s="1675"/>
      <c r="S302" s="1675"/>
      <c r="T302" s="1675"/>
      <c r="U302" s="1675"/>
      <c r="V302" s="1675"/>
      <c r="W302" s="1675"/>
      <c r="X302" s="1675"/>
      <c r="Y302" s="1675"/>
      <c r="Z302" s="1675"/>
      <c r="AA302" s="1675"/>
    </row>
    <row r="303" spans="1:27" ht="13.5" customHeight="1" x14ac:dyDescent="0.3">
      <c r="A303" s="1675"/>
      <c r="B303" s="1675"/>
      <c r="C303" s="1678"/>
      <c r="D303" s="1771"/>
      <c r="E303" s="1771"/>
      <c r="F303" s="1771"/>
      <c r="G303" s="1689"/>
      <c r="H303" s="1674"/>
      <c r="I303" s="1675"/>
      <c r="J303" s="1675"/>
      <c r="K303" s="1675"/>
      <c r="L303" s="1675"/>
      <c r="M303" s="1676"/>
      <c r="N303" s="1676"/>
      <c r="O303" s="1676"/>
      <c r="P303" s="1675"/>
      <c r="Q303" s="1675"/>
      <c r="R303" s="1675"/>
      <c r="S303" s="1675"/>
      <c r="T303" s="1675"/>
      <c r="U303" s="1675"/>
      <c r="V303" s="1675"/>
      <c r="W303" s="1675"/>
      <c r="X303" s="1675"/>
      <c r="Y303" s="1675"/>
      <c r="Z303" s="1675"/>
      <c r="AA303" s="1675"/>
    </row>
    <row r="304" spans="1:27" ht="13.5" customHeight="1" x14ac:dyDescent="0.3">
      <c r="A304" s="1675"/>
      <c r="B304" s="1675"/>
      <c r="C304" s="1678"/>
      <c r="D304" s="1771"/>
      <c r="E304" s="1771"/>
      <c r="F304" s="1771"/>
      <c r="G304" s="1689"/>
      <c r="H304" s="1674"/>
      <c r="I304" s="1675"/>
      <c r="J304" s="1675"/>
      <c r="K304" s="1675"/>
      <c r="L304" s="1675"/>
      <c r="M304" s="1676"/>
      <c r="N304" s="1676"/>
      <c r="O304" s="1676"/>
      <c r="P304" s="1675"/>
      <c r="Q304" s="1675"/>
      <c r="R304" s="1675"/>
      <c r="S304" s="1675"/>
      <c r="T304" s="1675"/>
      <c r="U304" s="1675"/>
      <c r="V304" s="1675"/>
      <c r="W304" s="1675"/>
      <c r="X304" s="1675"/>
      <c r="Y304" s="1675"/>
      <c r="Z304" s="1675"/>
      <c r="AA304" s="1675"/>
    </row>
    <row r="305" spans="1:27" ht="13.5" customHeight="1" x14ac:dyDescent="0.3">
      <c r="A305" s="1675"/>
      <c r="B305" s="1675"/>
      <c r="C305" s="1678"/>
      <c r="D305" s="1771"/>
      <c r="E305" s="1771"/>
      <c r="F305" s="1771"/>
      <c r="G305" s="1689"/>
      <c r="H305" s="1674"/>
      <c r="I305" s="1675"/>
      <c r="J305" s="1675"/>
      <c r="K305" s="1675"/>
      <c r="L305" s="1675"/>
      <c r="M305" s="1676"/>
      <c r="N305" s="1676"/>
      <c r="O305" s="1676"/>
      <c r="P305" s="1675"/>
      <c r="Q305" s="1675"/>
      <c r="R305" s="1675"/>
      <c r="S305" s="1675"/>
      <c r="T305" s="1675"/>
      <c r="U305" s="1675"/>
      <c r="V305" s="1675"/>
      <c r="W305" s="1675"/>
      <c r="X305" s="1675"/>
      <c r="Y305" s="1675"/>
      <c r="Z305" s="1675"/>
      <c r="AA305" s="1675"/>
    </row>
    <row r="306" spans="1:27" ht="13.5" customHeight="1" x14ac:dyDescent="0.3">
      <c r="A306" s="1675"/>
      <c r="B306" s="1675"/>
      <c r="C306" s="1678"/>
      <c r="D306" s="1771"/>
      <c r="E306" s="1771"/>
      <c r="F306" s="1771"/>
      <c r="G306" s="1689"/>
      <c r="H306" s="1674"/>
      <c r="I306" s="1675"/>
      <c r="J306" s="1675"/>
      <c r="K306" s="1675"/>
      <c r="L306" s="1675"/>
      <c r="M306" s="1676"/>
      <c r="N306" s="1676"/>
      <c r="O306" s="1676"/>
      <c r="P306" s="1675"/>
      <c r="Q306" s="1675"/>
      <c r="R306" s="1675"/>
      <c r="S306" s="1675"/>
      <c r="T306" s="1675"/>
      <c r="U306" s="1675"/>
      <c r="V306" s="1675"/>
      <c r="W306" s="1675"/>
      <c r="X306" s="1675"/>
      <c r="Y306" s="1675"/>
      <c r="Z306" s="1675"/>
      <c r="AA306" s="1675"/>
    </row>
    <row r="307" spans="1:27" ht="13.5" customHeight="1" x14ac:dyDescent="0.3">
      <c r="A307" s="1675"/>
      <c r="B307" s="1675"/>
      <c r="C307" s="1678"/>
      <c r="D307" s="1771"/>
      <c r="E307" s="1771"/>
      <c r="F307" s="1771"/>
      <c r="G307" s="1689"/>
      <c r="H307" s="1674"/>
      <c r="I307" s="1675"/>
      <c r="J307" s="1675"/>
      <c r="K307" s="1675"/>
      <c r="L307" s="1675"/>
      <c r="M307" s="1676"/>
      <c r="N307" s="1676"/>
      <c r="O307" s="1676"/>
      <c r="P307" s="1675"/>
      <c r="Q307" s="1675"/>
      <c r="R307" s="1675"/>
      <c r="S307" s="1675"/>
      <c r="T307" s="1675"/>
      <c r="U307" s="1675"/>
      <c r="V307" s="1675"/>
      <c r="W307" s="1675"/>
      <c r="X307" s="1675"/>
      <c r="Y307" s="1675"/>
      <c r="Z307" s="1675"/>
      <c r="AA307" s="1675"/>
    </row>
    <row r="308" spans="1:27" ht="13.5" customHeight="1" x14ac:dyDescent="0.3">
      <c r="A308" s="1675"/>
      <c r="B308" s="1675"/>
      <c r="C308" s="1678"/>
      <c r="D308" s="1771"/>
      <c r="E308" s="1771"/>
      <c r="F308" s="1771"/>
      <c r="G308" s="1689"/>
      <c r="H308" s="1674"/>
      <c r="I308" s="1675"/>
      <c r="J308" s="1675"/>
      <c r="K308" s="1675"/>
      <c r="L308" s="1675"/>
      <c r="M308" s="1676"/>
      <c r="N308" s="1676"/>
      <c r="O308" s="1676"/>
      <c r="P308" s="1675"/>
      <c r="Q308" s="1675"/>
      <c r="R308" s="1675"/>
      <c r="S308" s="1675"/>
      <c r="T308" s="1675"/>
      <c r="U308" s="1675"/>
      <c r="V308" s="1675"/>
      <c r="W308" s="1675"/>
      <c r="X308" s="1675"/>
      <c r="Y308" s="1675"/>
      <c r="Z308" s="1675"/>
      <c r="AA308" s="1675"/>
    </row>
    <row r="309" spans="1:27" ht="13.5" customHeight="1" x14ac:dyDescent="0.3">
      <c r="A309" s="1675"/>
      <c r="B309" s="1675"/>
      <c r="C309" s="1678"/>
      <c r="D309" s="1771"/>
      <c r="E309" s="1771"/>
      <c r="F309" s="1771"/>
      <c r="G309" s="1689"/>
      <c r="H309" s="1674"/>
      <c r="I309" s="1675"/>
      <c r="J309" s="1675"/>
      <c r="K309" s="1675"/>
      <c r="L309" s="1675"/>
      <c r="M309" s="1676"/>
      <c r="N309" s="1676"/>
      <c r="O309" s="1676"/>
      <c r="P309" s="1675"/>
      <c r="Q309" s="1675"/>
      <c r="R309" s="1675"/>
      <c r="S309" s="1675"/>
      <c r="T309" s="1675"/>
      <c r="U309" s="1675"/>
      <c r="V309" s="1675"/>
      <c r="W309" s="1675"/>
      <c r="X309" s="1675"/>
      <c r="Y309" s="1675"/>
      <c r="Z309" s="1675"/>
      <c r="AA309" s="1675"/>
    </row>
    <row r="310" spans="1:27" ht="13.5" customHeight="1" x14ac:dyDescent="0.3">
      <c r="A310" s="1675"/>
      <c r="B310" s="1675"/>
      <c r="C310" s="1678"/>
      <c r="D310" s="1771"/>
      <c r="E310" s="1771"/>
      <c r="F310" s="1771"/>
      <c r="G310" s="1689"/>
      <c r="H310" s="1674"/>
      <c r="I310" s="1675"/>
      <c r="J310" s="1675"/>
      <c r="K310" s="1675"/>
      <c r="L310" s="1675"/>
      <c r="M310" s="1676"/>
      <c r="N310" s="1676"/>
      <c r="O310" s="1676"/>
      <c r="P310" s="1675"/>
      <c r="Q310" s="1675"/>
      <c r="R310" s="1675"/>
      <c r="S310" s="1675"/>
      <c r="T310" s="1675"/>
      <c r="U310" s="1675"/>
      <c r="V310" s="1675"/>
      <c r="W310" s="1675"/>
      <c r="X310" s="1675"/>
      <c r="Y310" s="1675"/>
      <c r="Z310" s="1675"/>
      <c r="AA310" s="1675"/>
    </row>
    <row r="311" spans="1:27" ht="13.5" customHeight="1" x14ac:dyDescent="0.3">
      <c r="A311" s="1675"/>
      <c r="B311" s="1675"/>
      <c r="C311" s="1678"/>
      <c r="D311" s="1771"/>
      <c r="E311" s="1771"/>
      <c r="F311" s="1771"/>
      <c r="G311" s="1689"/>
      <c r="H311" s="1674"/>
      <c r="I311" s="1675"/>
      <c r="J311" s="1675"/>
      <c r="K311" s="1675"/>
      <c r="L311" s="1675"/>
      <c r="M311" s="1676"/>
      <c r="N311" s="1676"/>
      <c r="O311" s="1676"/>
      <c r="P311" s="1675"/>
      <c r="Q311" s="1675"/>
      <c r="R311" s="1675"/>
      <c r="S311" s="1675"/>
      <c r="T311" s="1675"/>
      <c r="U311" s="1675"/>
      <c r="V311" s="1675"/>
      <c r="W311" s="1675"/>
      <c r="X311" s="1675"/>
      <c r="Y311" s="1675"/>
      <c r="Z311" s="1675"/>
      <c r="AA311" s="1675"/>
    </row>
    <row r="312" spans="1:27" ht="13.5" customHeight="1" x14ac:dyDescent="0.3">
      <c r="A312" s="1675"/>
      <c r="B312" s="1675"/>
      <c r="C312" s="1678"/>
      <c r="D312" s="1771"/>
      <c r="E312" s="1771"/>
      <c r="F312" s="1771"/>
      <c r="G312" s="1689"/>
      <c r="H312" s="1674"/>
      <c r="I312" s="1675"/>
      <c r="J312" s="1675"/>
      <c r="K312" s="1675"/>
      <c r="L312" s="1675"/>
      <c r="M312" s="1676"/>
      <c r="N312" s="1676"/>
      <c r="O312" s="1676"/>
      <c r="P312" s="1675"/>
      <c r="Q312" s="1675"/>
      <c r="R312" s="1675"/>
      <c r="S312" s="1675"/>
      <c r="T312" s="1675"/>
      <c r="U312" s="1675"/>
      <c r="V312" s="1675"/>
      <c r="W312" s="1675"/>
      <c r="X312" s="1675"/>
      <c r="Y312" s="1675"/>
      <c r="Z312" s="1675"/>
      <c r="AA312" s="1675"/>
    </row>
    <row r="313" spans="1:27" ht="13.5" customHeight="1" x14ac:dyDescent="0.3">
      <c r="A313" s="1675"/>
      <c r="B313" s="1675"/>
      <c r="C313" s="1678"/>
      <c r="D313" s="1771"/>
      <c r="E313" s="1771"/>
      <c r="F313" s="1771"/>
      <c r="G313" s="1689"/>
      <c r="H313" s="1674"/>
      <c r="I313" s="1675"/>
      <c r="J313" s="1675"/>
      <c r="K313" s="1675"/>
      <c r="L313" s="1675"/>
      <c r="M313" s="1676"/>
      <c r="N313" s="1676"/>
      <c r="O313" s="1676"/>
      <c r="P313" s="1675"/>
      <c r="Q313" s="1675"/>
      <c r="R313" s="1675"/>
      <c r="S313" s="1675"/>
      <c r="T313" s="1675"/>
      <c r="U313" s="1675"/>
      <c r="V313" s="1675"/>
      <c r="W313" s="1675"/>
      <c r="X313" s="1675"/>
      <c r="Y313" s="1675"/>
      <c r="Z313" s="1675"/>
      <c r="AA313" s="1675"/>
    </row>
    <row r="314" spans="1:27" ht="13.5" customHeight="1" x14ac:dyDescent="0.3">
      <c r="A314" s="1675"/>
      <c r="B314" s="1675"/>
      <c r="C314" s="1678"/>
      <c r="D314" s="1771"/>
      <c r="E314" s="1771"/>
      <c r="F314" s="1771"/>
      <c r="G314" s="1689"/>
      <c r="H314" s="1674"/>
      <c r="I314" s="1675"/>
      <c r="J314" s="1675"/>
      <c r="K314" s="1675"/>
      <c r="L314" s="1675"/>
      <c r="M314" s="1676"/>
      <c r="N314" s="1676"/>
      <c r="O314" s="1676"/>
      <c r="P314" s="1675"/>
      <c r="Q314" s="1675"/>
      <c r="R314" s="1675"/>
      <c r="S314" s="1675"/>
      <c r="T314" s="1675"/>
      <c r="U314" s="1675"/>
      <c r="V314" s="1675"/>
      <c r="W314" s="1675"/>
      <c r="X314" s="1675"/>
      <c r="Y314" s="1675"/>
      <c r="Z314" s="1675"/>
      <c r="AA314" s="1675"/>
    </row>
    <row r="315" spans="1:27" ht="13.5" customHeight="1" x14ac:dyDescent="0.3">
      <c r="A315" s="1675"/>
      <c r="B315" s="1675"/>
      <c r="C315" s="1678"/>
      <c r="D315" s="1771"/>
      <c r="E315" s="1771"/>
      <c r="F315" s="1771"/>
      <c r="G315" s="1689"/>
      <c r="H315" s="1674"/>
      <c r="I315" s="1675"/>
      <c r="J315" s="1675"/>
      <c r="K315" s="1675"/>
      <c r="L315" s="1675"/>
      <c r="M315" s="1676"/>
      <c r="N315" s="1676"/>
      <c r="O315" s="1676"/>
      <c r="P315" s="1675"/>
      <c r="Q315" s="1675"/>
      <c r="R315" s="1675"/>
      <c r="S315" s="1675"/>
      <c r="T315" s="1675"/>
      <c r="U315" s="1675"/>
      <c r="V315" s="1675"/>
      <c r="W315" s="1675"/>
      <c r="X315" s="1675"/>
      <c r="Y315" s="1675"/>
      <c r="Z315" s="1675"/>
      <c r="AA315" s="1675"/>
    </row>
    <row r="316" spans="1:27" ht="13.5" customHeight="1" x14ac:dyDescent="0.3">
      <c r="A316" s="1675"/>
      <c r="B316" s="1675"/>
      <c r="C316" s="1678"/>
      <c r="D316" s="1771"/>
      <c r="E316" s="1771"/>
      <c r="F316" s="1771"/>
      <c r="G316" s="1689"/>
      <c r="H316" s="1674"/>
      <c r="I316" s="1675"/>
      <c r="J316" s="1675"/>
      <c r="K316" s="1675"/>
      <c r="L316" s="1675"/>
      <c r="M316" s="1676"/>
      <c r="N316" s="1676"/>
      <c r="O316" s="1676"/>
      <c r="P316" s="1675"/>
      <c r="Q316" s="1675"/>
      <c r="R316" s="1675"/>
      <c r="S316" s="1675"/>
      <c r="T316" s="1675"/>
      <c r="U316" s="1675"/>
      <c r="V316" s="1675"/>
      <c r="W316" s="1675"/>
      <c r="X316" s="1675"/>
      <c r="Y316" s="1675"/>
      <c r="Z316" s="1675"/>
      <c r="AA316" s="1675"/>
    </row>
    <row r="317" spans="1:27" ht="13.5" customHeight="1" x14ac:dyDescent="0.3">
      <c r="A317" s="1675"/>
      <c r="B317" s="1675"/>
      <c r="C317" s="1678"/>
      <c r="D317" s="1771"/>
      <c r="E317" s="1771"/>
      <c r="F317" s="1771"/>
      <c r="G317" s="1689"/>
      <c r="H317" s="1674"/>
      <c r="I317" s="1675"/>
      <c r="J317" s="1675"/>
      <c r="K317" s="1675"/>
      <c r="L317" s="1675"/>
      <c r="M317" s="1676"/>
      <c r="N317" s="1676"/>
      <c r="O317" s="1676"/>
      <c r="P317" s="1675"/>
      <c r="Q317" s="1675"/>
      <c r="R317" s="1675"/>
      <c r="S317" s="1675"/>
      <c r="T317" s="1675"/>
      <c r="U317" s="1675"/>
      <c r="V317" s="1675"/>
      <c r="W317" s="1675"/>
      <c r="X317" s="1675"/>
      <c r="Y317" s="1675"/>
      <c r="Z317" s="1675"/>
      <c r="AA317" s="1675"/>
    </row>
    <row r="318" spans="1:27" ht="13.5" customHeight="1" x14ac:dyDescent="0.3">
      <c r="A318" s="1675"/>
      <c r="B318" s="1675"/>
      <c r="C318" s="1678"/>
      <c r="D318" s="1771"/>
      <c r="E318" s="1771"/>
      <c r="F318" s="1771"/>
      <c r="G318" s="1689"/>
      <c r="H318" s="1674"/>
      <c r="I318" s="1675"/>
      <c r="J318" s="1675"/>
      <c r="K318" s="1675"/>
      <c r="L318" s="1675"/>
      <c r="M318" s="1676"/>
      <c r="N318" s="1676"/>
      <c r="O318" s="1676"/>
      <c r="P318" s="1675"/>
      <c r="Q318" s="1675"/>
      <c r="R318" s="1675"/>
      <c r="S318" s="1675"/>
      <c r="T318" s="1675"/>
      <c r="U318" s="1675"/>
      <c r="V318" s="1675"/>
      <c r="W318" s="1675"/>
      <c r="X318" s="1675"/>
      <c r="Y318" s="1675"/>
      <c r="Z318" s="1675"/>
      <c r="AA318" s="1675"/>
    </row>
    <row r="319" spans="1:27" ht="13.5" customHeight="1" x14ac:dyDescent="0.3">
      <c r="A319" s="1675"/>
      <c r="B319" s="1675"/>
      <c r="C319" s="1678"/>
      <c r="D319" s="1771"/>
      <c r="E319" s="1771"/>
      <c r="F319" s="1771"/>
      <c r="G319" s="1689"/>
      <c r="H319" s="1674"/>
      <c r="I319" s="1675"/>
      <c r="J319" s="1675"/>
      <c r="K319" s="1675"/>
      <c r="L319" s="1675"/>
      <c r="M319" s="1676"/>
      <c r="N319" s="1676"/>
      <c r="O319" s="1676"/>
      <c r="P319" s="1675"/>
      <c r="Q319" s="1675"/>
      <c r="R319" s="1675"/>
      <c r="S319" s="1675"/>
      <c r="T319" s="1675"/>
      <c r="U319" s="1675"/>
      <c r="V319" s="1675"/>
      <c r="W319" s="1675"/>
      <c r="X319" s="1675"/>
      <c r="Y319" s="1675"/>
      <c r="Z319" s="1675"/>
      <c r="AA319" s="1675"/>
    </row>
    <row r="320" spans="1:27" ht="13.5" customHeight="1" x14ac:dyDescent="0.3">
      <c r="A320" s="1675"/>
      <c r="B320" s="1675"/>
      <c r="C320" s="1678"/>
      <c r="D320" s="1771"/>
      <c r="E320" s="1771"/>
      <c r="F320" s="1771"/>
      <c r="G320" s="1689"/>
      <c r="H320" s="1674"/>
      <c r="I320" s="1675"/>
      <c r="J320" s="1675"/>
      <c r="K320" s="1675"/>
      <c r="L320" s="1675"/>
      <c r="M320" s="1676"/>
      <c r="N320" s="1676"/>
      <c r="O320" s="1676"/>
      <c r="P320" s="1675"/>
      <c r="Q320" s="1675"/>
      <c r="R320" s="1675"/>
      <c r="S320" s="1675"/>
      <c r="T320" s="1675"/>
      <c r="U320" s="1675"/>
      <c r="V320" s="1675"/>
      <c r="W320" s="1675"/>
      <c r="X320" s="1675"/>
      <c r="Y320" s="1675"/>
      <c r="Z320" s="1675"/>
      <c r="AA320" s="1675"/>
    </row>
    <row r="321" spans="1:27" ht="13.5" customHeight="1" x14ac:dyDescent="0.3">
      <c r="A321" s="1675"/>
      <c r="B321" s="1675"/>
      <c r="C321" s="1678"/>
      <c r="D321" s="1771"/>
      <c r="E321" s="1771"/>
      <c r="F321" s="1771"/>
      <c r="G321" s="1689"/>
      <c r="H321" s="1674"/>
      <c r="I321" s="1675"/>
      <c r="J321" s="1675"/>
      <c r="K321" s="1675"/>
      <c r="L321" s="1675"/>
      <c r="M321" s="1676"/>
      <c r="N321" s="1676"/>
      <c r="O321" s="1676"/>
      <c r="P321" s="1675"/>
      <c r="Q321" s="1675"/>
      <c r="R321" s="1675"/>
      <c r="S321" s="1675"/>
      <c r="T321" s="1675"/>
      <c r="U321" s="1675"/>
      <c r="V321" s="1675"/>
      <c r="W321" s="1675"/>
      <c r="X321" s="1675"/>
      <c r="Y321" s="1675"/>
      <c r="Z321" s="1675"/>
      <c r="AA321" s="1675"/>
    </row>
    <row r="322" spans="1:27" ht="13.5" customHeight="1" x14ac:dyDescent="0.3">
      <c r="A322" s="1675"/>
      <c r="B322" s="1675"/>
      <c r="C322" s="1678"/>
      <c r="D322" s="1771"/>
      <c r="E322" s="1771"/>
      <c r="F322" s="1771"/>
      <c r="G322" s="1689"/>
      <c r="H322" s="1674"/>
      <c r="I322" s="1675"/>
      <c r="J322" s="1675"/>
      <c r="K322" s="1675"/>
      <c r="L322" s="1675"/>
      <c r="M322" s="1676"/>
      <c r="N322" s="1676"/>
      <c r="O322" s="1676"/>
      <c r="P322" s="1675"/>
      <c r="Q322" s="1675"/>
      <c r="R322" s="1675"/>
      <c r="S322" s="1675"/>
      <c r="T322" s="1675"/>
      <c r="U322" s="1675"/>
      <c r="V322" s="1675"/>
      <c r="W322" s="1675"/>
      <c r="X322" s="1675"/>
      <c r="Y322" s="1675"/>
      <c r="Z322" s="1675"/>
      <c r="AA322" s="1675"/>
    </row>
    <row r="323" spans="1:27" ht="13.5" customHeight="1" x14ac:dyDescent="0.3">
      <c r="A323" s="1675"/>
      <c r="B323" s="1675"/>
      <c r="C323" s="1678"/>
      <c r="D323" s="1771"/>
      <c r="E323" s="1771"/>
      <c r="F323" s="1771"/>
      <c r="G323" s="1689"/>
      <c r="H323" s="1674"/>
      <c r="I323" s="1675"/>
      <c r="J323" s="1675"/>
      <c r="K323" s="1675"/>
      <c r="L323" s="1675"/>
      <c r="M323" s="1676"/>
      <c r="N323" s="1676"/>
      <c r="O323" s="1676"/>
      <c r="P323" s="1675"/>
      <c r="Q323" s="1675"/>
      <c r="R323" s="1675"/>
      <c r="S323" s="1675"/>
      <c r="T323" s="1675"/>
      <c r="U323" s="1675"/>
      <c r="V323" s="1675"/>
      <c r="W323" s="1675"/>
      <c r="X323" s="1675"/>
      <c r="Y323" s="1675"/>
      <c r="Z323" s="1675"/>
      <c r="AA323" s="1675"/>
    </row>
    <row r="324" spans="1:27" ht="13.5" customHeight="1" x14ac:dyDescent="0.3">
      <c r="A324" s="1675"/>
      <c r="B324" s="1675"/>
      <c r="C324" s="1678"/>
      <c r="D324" s="1771"/>
      <c r="E324" s="1771"/>
      <c r="F324" s="1771"/>
      <c r="G324" s="1689"/>
      <c r="H324" s="1674"/>
      <c r="I324" s="1675"/>
      <c r="J324" s="1675"/>
      <c r="K324" s="1675"/>
      <c r="L324" s="1675"/>
      <c r="M324" s="1676"/>
      <c r="N324" s="1676"/>
      <c r="O324" s="1676"/>
      <c r="P324" s="1675"/>
      <c r="Q324" s="1675"/>
      <c r="R324" s="1675"/>
      <c r="S324" s="1675"/>
      <c r="T324" s="1675"/>
      <c r="U324" s="1675"/>
      <c r="V324" s="1675"/>
      <c r="W324" s="1675"/>
      <c r="X324" s="1675"/>
      <c r="Y324" s="1675"/>
      <c r="Z324" s="1675"/>
      <c r="AA324" s="1675"/>
    </row>
    <row r="325" spans="1:27" ht="13.5" customHeight="1" x14ac:dyDescent="0.3">
      <c r="A325" s="1675"/>
      <c r="B325" s="1675"/>
      <c r="C325" s="1678"/>
      <c r="D325" s="1771"/>
      <c r="E325" s="1771"/>
      <c r="F325" s="1771"/>
      <c r="G325" s="1689"/>
      <c r="H325" s="1674"/>
      <c r="I325" s="1675"/>
      <c r="J325" s="1675"/>
      <c r="K325" s="1675"/>
      <c r="L325" s="1675"/>
      <c r="M325" s="1676"/>
      <c r="N325" s="1676"/>
      <c r="O325" s="1676"/>
      <c r="P325" s="1675"/>
      <c r="Q325" s="1675"/>
      <c r="R325" s="1675"/>
      <c r="S325" s="1675"/>
      <c r="T325" s="1675"/>
      <c r="U325" s="1675"/>
      <c r="V325" s="1675"/>
      <c r="W325" s="1675"/>
      <c r="X325" s="1675"/>
      <c r="Y325" s="1675"/>
      <c r="Z325" s="1675"/>
      <c r="AA325" s="1675"/>
    </row>
    <row r="326" spans="1:27" ht="13.5" customHeight="1" x14ac:dyDescent="0.3">
      <c r="A326" s="1675"/>
      <c r="B326" s="1675"/>
      <c r="C326" s="1678"/>
      <c r="D326" s="1771"/>
      <c r="E326" s="1771"/>
      <c r="F326" s="1771"/>
      <c r="G326" s="1689"/>
      <c r="H326" s="1674"/>
      <c r="I326" s="1675"/>
      <c r="J326" s="1675"/>
      <c r="K326" s="1675"/>
      <c r="L326" s="1675"/>
      <c r="M326" s="1676"/>
      <c r="N326" s="1676"/>
      <c r="O326" s="1676"/>
      <c r="P326" s="1675"/>
      <c r="Q326" s="1675"/>
      <c r="R326" s="1675"/>
      <c r="S326" s="1675"/>
      <c r="T326" s="1675"/>
      <c r="U326" s="1675"/>
      <c r="V326" s="1675"/>
      <c r="W326" s="1675"/>
      <c r="X326" s="1675"/>
      <c r="Y326" s="1675"/>
      <c r="Z326" s="1675"/>
      <c r="AA326" s="1675"/>
    </row>
    <row r="327" spans="1:27" ht="13.5" customHeight="1" x14ac:dyDescent="0.3">
      <c r="A327" s="1675"/>
      <c r="B327" s="1675"/>
      <c r="C327" s="1678"/>
      <c r="D327" s="1771"/>
      <c r="E327" s="1771"/>
      <c r="F327" s="1771"/>
      <c r="G327" s="1689"/>
      <c r="H327" s="1674"/>
      <c r="I327" s="1675"/>
      <c r="J327" s="1675"/>
      <c r="K327" s="1675"/>
      <c r="L327" s="1675"/>
      <c r="M327" s="1676"/>
      <c r="N327" s="1676"/>
      <c r="O327" s="1676"/>
      <c r="P327" s="1675"/>
      <c r="Q327" s="1675"/>
      <c r="R327" s="1675"/>
      <c r="S327" s="1675"/>
      <c r="T327" s="1675"/>
      <c r="U327" s="1675"/>
      <c r="V327" s="1675"/>
      <c r="W327" s="1675"/>
      <c r="X327" s="1675"/>
      <c r="Y327" s="1675"/>
      <c r="Z327" s="1675"/>
      <c r="AA327" s="1675"/>
    </row>
    <row r="328" spans="1:27" ht="13.5" customHeight="1" x14ac:dyDescent="0.3">
      <c r="A328" s="1675"/>
      <c r="B328" s="1675"/>
      <c r="C328" s="1678"/>
      <c r="D328" s="1771"/>
      <c r="E328" s="1771"/>
      <c r="F328" s="1771"/>
      <c r="G328" s="1689"/>
      <c r="H328" s="1674"/>
      <c r="I328" s="1675"/>
      <c r="J328" s="1675"/>
      <c r="K328" s="1675"/>
      <c r="L328" s="1675"/>
      <c r="M328" s="1676"/>
      <c r="N328" s="1676"/>
      <c r="O328" s="1676"/>
      <c r="P328" s="1675"/>
      <c r="Q328" s="1675"/>
      <c r="R328" s="1675"/>
      <c r="S328" s="1675"/>
      <c r="T328" s="1675"/>
      <c r="U328" s="1675"/>
      <c r="V328" s="1675"/>
      <c r="W328" s="1675"/>
      <c r="X328" s="1675"/>
      <c r="Y328" s="1675"/>
      <c r="Z328" s="1675"/>
      <c r="AA328" s="1675"/>
    </row>
    <row r="329" spans="1:27" ht="13.5" customHeight="1" x14ac:dyDescent="0.3">
      <c r="A329" s="1675"/>
      <c r="B329" s="1675"/>
      <c r="C329" s="1678"/>
      <c r="D329" s="1771"/>
      <c r="E329" s="1771"/>
      <c r="F329" s="1771"/>
      <c r="G329" s="1689"/>
      <c r="H329" s="1674"/>
      <c r="I329" s="1675"/>
      <c r="J329" s="1675"/>
      <c r="K329" s="1675"/>
      <c r="L329" s="1675"/>
      <c r="M329" s="1676"/>
      <c r="N329" s="1676"/>
      <c r="O329" s="1676"/>
      <c r="P329" s="1675"/>
      <c r="Q329" s="1675"/>
      <c r="R329" s="1675"/>
      <c r="S329" s="1675"/>
      <c r="T329" s="1675"/>
      <c r="U329" s="1675"/>
      <c r="V329" s="1675"/>
      <c r="W329" s="1675"/>
      <c r="X329" s="1675"/>
      <c r="Y329" s="1675"/>
      <c r="Z329" s="1675"/>
      <c r="AA329" s="1675"/>
    </row>
    <row r="330" spans="1:27" ht="13.5" customHeight="1" x14ac:dyDescent="0.3">
      <c r="A330" s="1675"/>
      <c r="B330" s="1675"/>
      <c r="C330" s="1678"/>
      <c r="D330" s="1771"/>
      <c r="E330" s="1771"/>
      <c r="F330" s="1771"/>
      <c r="G330" s="1689"/>
      <c r="H330" s="1674"/>
      <c r="I330" s="1675"/>
      <c r="J330" s="1675"/>
      <c r="K330" s="1675"/>
      <c r="L330" s="1675"/>
      <c r="M330" s="1676"/>
      <c r="N330" s="1676"/>
      <c r="O330" s="1676"/>
      <c r="P330" s="1675"/>
      <c r="Q330" s="1675"/>
      <c r="R330" s="1675"/>
      <c r="S330" s="1675"/>
      <c r="T330" s="1675"/>
      <c r="U330" s="1675"/>
      <c r="V330" s="1675"/>
      <c r="W330" s="1675"/>
      <c r="X330" s="1675"/>
      <c r="Y330" s="1675"/>
      <c r="Z330" s="1675"/>
      <c r="AA330" s="1675"/>
    </row>
    <row r="331" spans="1:27" ht="13.5" customHeight="1" x14ac:dyDescent="0.3">
      <c r="A331" s="1675"/>
      <c r="B331" s="1675"/>
      <c r="C331" s="1678"/>
      <c r="D331" s="1771"/>
      <c r="E331" s="1771"/>
      <c r="F331" s="1771"/>
      <c r="G331" s="1689"/>
      <c r="H331" s="1674"/>
      <c r="I331" s="1675"/>
      <c r="J331" s="1675"/>
      <c r="K331" s="1675"/>
      <c r="L331" s="1675"/>
      <c r="M331" s="1676"/>
      <c r="N331" s="1676"/>
      <c r="O331" s="1676"/>
      <c r="P331" s="1675"/>
      <c r="Q331" s="1675"/>
      <c r="R331" s="1675"/>
      <c r="S331" s="1675"/>
      <c r="T331" s="1675"/>
      <c r="U331" s="1675"/>
      <c r="V331" s="1675"/>
      <c r="W331" s="1675"/>
      <c r="X331" s="1675"/>
      <c r="Y331" s="1675"/>
      <c r="Z331" s="1675"/>
      <c r="AA331" s="1675"/>
    </row>
    <row r="332" spans="1:27" ht="13.5" customHeight="1" x14ac:dyDescent="0.3">
      <c r="A332" s="1675"/>
      <c r="B332" s="1675"/>
      <c r="C332" s="1678"/>
      <c r="D332" s="1771"/>
      <c r="E332" s="1771"/>
      <c r="F332" s="1771"/>
      <c r="G332" s="1689"/>
      <c r="H332" s="1674"/>
      <c r="I332" s="1675"/>
      <c r="J332" s="1675"/>
      <c r="K332" s="1675"/>
      <c r="L332" s="1675"/>
      <c r="M332" s="1676"/>
      <c r="N332" s="1676"/>
      <c r="O332" s="1676"/>
      <c r="P332" s="1675"/>
      <c r="Q332" s="1675"/>
      <c r="R332" s="1675"/>
      <c r="S332" s="1675"/>
      <c r="T332" s="1675"/>
      <c r="U332" s="1675"/>
      <c r="V332" s="1675"/>
      <c r="W332" s="1675"/>
      <c r="X332" s="1675"/>
      <c r="Y332" s="1675"/>
      <c r="Z332" s="1675"/>
      <c r="AA332" s="1675"/>
    </row>
    <row r="333" spans="1:27" ht="13.5" customHeight="1" x14ac:dyDescent="0.3">
      <c r="A333" s="1675"/>
      <c r="B333" s="1675"/>
      <c r="C333" s="1678"/>
      <c r="D333" s="1771"/>
      <c r="E333" s="1771"/>
      <c r="F333" s="1771"/>
      <c r="G333" s="1689"/>
      <c r="H333" s="1674"/>
      <c r="I333" s="1675"/>
      <c r="J333" s="1675"/>
      <c r="K333" s="1675"/>
      <c r="L333" s="1675"/>
      <c r="M333" s="1676"/>
      <c r="N333" s="1676"/>
      <c r="O333" s="1676"/>
      <c r="P333" s="1675"/>
      <c r="Q333" s="1675"/>
      <c r="R333" s="1675"/>
      <c r="S333" s="1675"/>
      <c r="T333" s="1675"/>
      <c r="U333" s="1675"/>
      <c r="V333" s="1675"/>
      <c r="W333" s="1675"/>
      <c r="X333" s="1675"/>
      <c r="Y333" s="1675"/>
      <c r="Z333" s="1675"/>
      <c r="AA333" s="1675"/>
    </row>
    <row r="334" spans="1:27" ht="13.5" customHeight="1" x14ac:dyDescent="0.3">
      <c r="A334" s="1675"/>
      <c r="B334" s="1675"/>
      <c r="C334" s="1678"/>
      <c r="D334" s="1771"/>
      <c r="E334" s="1771"/>
      <c r="F334" s="1771"/>
      <c r="G334" s="1689"/>
      <c r="H334" s="1674"/>
      <c r="I334" s="1675"/>
      <c r="J334" s="1675"/>
      <c r="K334" s="1675"/>
      <c r="L334" s="1675"/>
      <c r="M334" s="1676"/>
      <c r="N334" s="1676"/>
      <c r="O334" s="1676"/>
      <c r="P334" s="1675"/>
      <c r="Q334" s="1675"/>
      <c r="R334" s="1675"/>
      <c r="S334" s="1675"/>
      <c r="T334" s="1675"/>
      <c r="U334" s="1675"/>
      <c r="V334" s="1675"/>
      <c r="W334" s="1675"/>
      <c r="X334" s="1675"/>
      <c r="Y334" s="1675"/>
      <c r="Z334" s="1675"/>
      <c r="AA334" s="1675"/>
    </row>
    <row r="335" spans="1:27" ht="13.5" customHeight="1" x14ac:dyDescent="0.3">
      <c r="A335" s="1675"/>
      <c r="B335" s="1675"/>
      <c r="C335" s="1678"/>
      <c r="D335" s="1771"/>
      <c r="E335" s="1771"/>
      <c r="F335" s="1771"/>
      <c r="G335" s="1689"/>
      <c r="H335" s="1674"/>
      <c r="I335" s="1675"/>
      <c r="J335" s="1675"/>
      <c r="K335" s="1675"/>
      <c r="L335" s="1675"/>
      <c r="M335" s="1676"/>
      <c r="N335" s="1676"/>
      <c r="O335" s="1676"/>
      <c r="P335" s="1675"/>
      <c r="Q335" s="1675"/>
      <c r="R335" s="1675"/>
      <c r="S335" s="1675"/>
      <c r="T335" s="1675"/>
      <c r="U335" s="1675"/>
      <c r="V335" s="1675"/>
      <c r="W335" s="1675"/>
      <c r="X335" s="1675"/>
      <c r="Y335" s="1675"/>
      <c r="Z335" s="1675"/>
      <c r="AA335" s="1675"/>
    </row>
    <row r="336" spans="1:27" ht="13.5" customHeight="1" x14ac:dyDescent="0.3">
      <c r="A336" s="1675"/>
      <c r="B336" s="1675"/>
      <c r="C336" s="1678"/>
      <c r="D336" s="1771"/>
      <c r="E336" s="1771"/>
      <c r="F336" s="1771"/>
      <c r="G336" s="1689"/>
      <c r="H336" s="1674"/>
      <c r="I336" s="1675"/>
      <c r="J336" s="1675"/>
      <c r="K336" s="1675"/>
      <c r="L336" s="1675"/>
      <c r="M336" s="1676"/>
      <c r="N336" s="1676"/>
      <c r="O336" s="1676"/>
      <c r="P336" s="1675"/>
      <c r="Q336" s="1675"/>
      <c r="R336" s="1675"/>
      <c r="S336" s="1675"/>
      <c r="T336" s="1675"/>
      <c r="U336" s="1675"/>
      <c r="V336" s="1675"/>
      <c r="W336" s="1675"/>
      <c r="X336" s="1675"/>
      <c r="Y336" s="1675"/>
      <c r="Z336" s="1675"/>
      <c r="AA336" s="1675"/>
    </row>
    <row r="337" spans="1:27" ht="13.5" customHeight="1" x14ac:dyDescent="0.3">
      <c r="A337" s="1675"/>
      <c r="B337" s="1675"/>
      <c r="C337" s="1678"/>
      <c r="D337" s="1771"/>
      <c r="E337" s="1771"/>
      <c r="F337" s="1771"/>
      <c r="G337" s="1689"/>
      <c r="H337" s="1674"/>
      <c r="I337" s="1675"/>
      <c r="J337" s="1675"/>
      <c r="K337" s="1675"/>
      <c r="L337" s="1675"/>
      <c r="M337" s="1676"/>
      <c r="N337" s="1676"/>
      <c r="O337" s="1676"/>
      <c r="P337" s="1675"/>
      <c r="Q337" s="1675"/>
      <c r="R337" s="1675"/>
      <c r="S337" s="1675"/>
      <c r="T337" s="1675"/>
      <c r="U337" s="1675"/>
      <c r="V337" s="1675"/>
      <c r="W337" s="1675"/>
      <c r="X337" s="1675"/>
      <c r="Y337" s="1675"/>
      <c r="Z337" s="1675"/>
      <c r="AA337" s="1675"/>
    </row>
    <row r="338" spans="1:27" ht="13.5" customHeight="1" x14ac:dyDescent="0.3">
      <c r="A338" s="1675"/>
      <c r="B338" s="1675"/>
      <c r="C338" s="1678"/>
      <c r="D338" s="1771"/>
      <c r="E338" s="1771"/>
      <c r="F338" s="1771"/>
      <c r="G338" s="1689"/>
      <c r="H338" s="1674"/>
      <c r="I338" s="1675"/>
      <c r="J338" s="1675"/>
      <c r="K338" s="1675"/>
      <c r="L338" s="1675"/>
      <c r="M338" s="1676"/>
      <c r="N338" s="1676"/>
      <c r="O338" s="1676"/>
      <c r="P338" s="1675"/>
      <c r="Q338" s="1675"/>
      <c r="R338" s="1675"/>
      <c r="S338" s="1675"/>
      <c r="T338" s="1675"/>
      <c r="U338" s="1675"/>
      <c r="V338" s="1675"/>
      <c r="W338" s="1675"/>
      <c r="X338" s="1675"/>
      <c r="Y338" s="1675"/>
      <c r="Z338" s="1675"/>
      <c r="AA338" s="1675"/>
    </row>
    <row r="339" spans="1:27" ht="13.5" customHeight="1" x14ac:dyDescent="0.3">
      <c r="A339" s="1675"/>
      <c r="B339" s="1675"/>
      <c r="C339" s="1678"/>
      <c r="D339" s="1771"/>
      <c r="E339" s="1771"/>
      <c r="F339" s="1771"/>
      <c r="G339" s="1689"/>
      <c r="H339" s="1674"/>
      <c r="I339" s="1675"/>
      <c r="J339" s="1675"/>
      <c r="K339" s="1675"/>
      <c r="L339" s="1675"/>
      <c r="M339" s="1676"/>
      <c r="N339" s="1676"/>
      <c r="O339" s="1676"/>
      <c r="P339" s="1675"/>
      <c r="Q339" s="1675"/>
      <c r="R339" s="1675"/>
      <c r="S339" s="1675"/>
      <c r="T339" s="1675"/>
      <c r="U339" s="1675"/>
      <c r="V339" s="1675"/>
      <c r="W339" s="1675"/>
      <c r="X339" s="1675"/>
      <c r="Y339" s="1675"/>
      <c r="Z339" s="1675"/>
      <c r="AA339" s="1675"/>
    </row>
    <row r="340" spans="1:27" ht="13.5" customHeight="1" x14ac:dyDescent="0.3">
      <c r="A340" s="1675"/>
      <c r="B340" s="1675"/>
      <c r="C340" s="1678"/>
      <c r="D340" s="1771"/>
      <c r="E340" s="1771"/>
      <c r="F340" s="1771"/>
      <c r="G340" s="1689"/>
      <c r="H340" s="1674"/>
      <c r="I340" s="1675"/>
      <c r="J340" s="1675"/>
      <c r="K340" s="1675"/>
      <c r="L340" s="1675"/>
      <c r="M340" s="1676"/>
      <c r="N340" s="1676"/>
      <c r="O340" s="1676"/>
      <c r="P340" s="1675"/>
      <c r="Q340" s="1675"/>
      <c r="R340" s="1675"/>
      <c r="S340" s="1675"/>
      <c r="T340" s="1675"/>
      <c r="U340" s="1675"/>
      <c r="V340" s="1675"/>
      <c r="W340" s="1675"/>
      <c r="X340" s="1675"/>
      <c r="Y340" s="1675"/>
      <c r="Z340" s="1675"/>
      <c r="AA340" s="1675"/>
    </row>
    <row r="341" spans="1:27" ht="13.5" customHeight="1" x14ac:dyDescent="0.3">
      <c r="A341" s="1675"/>
      <c r="B341" s="1675"/>
      <c r="C341" s="1678"/>
      <c r="D341" s="1771"/>
      <c r="E341" s="1771"/>
      <c r="F341" s="1771"/>
      <c r="G341" s="1689"/>
      <c r="H341" s="1674"/>
      <c r="I341" s="1675"/>
      <c r="J341" s="1675"/>
      <c r="K341" s="1675"/>
      <c r="L341" s="1675"/>
      <c r="M341" s="1676"/>
      <c r="N341" s="1676"/>
      <c r="O341" s="1676"/>
      <c r="P341" s="1675"/>
      <c r="Q341" s="1675"/>
      <c r="R341" s="1675"/>
      <c r="S341" s="1675"/>
      <c r="T341" s="1675"/>
      <c r="U341" s="1675"/>
      <c r="V341" s="1675"/>
      <c r="W341" s="1675"/>
      <c r="X341" s="1675"/>
      <c r="Y341" s="1675"/>
      <c r="Z341" s="1675"/>
      <c r="AA341" s="1675"/>
    </row>
    <row r="342" spans="1:27" ht="13.5" customHeight="1" x14ac:dyDescent="0.3">
      <c r="A342" s="1675"/>
      <c r="B342" s="1675"/>
      <c r="C342" s="1678"/>
      <c r="D342" s="1771"/>
      <c r="E342" s="1771"/>
      <c r="F342" s="1771"/>
      <c r="G342" s="1689"/>
      <c r="H342" s="1674"/>
      <c r="I342" s="1675"/>
      <c r="J342" s="1675"/>
      <c r="K342" s="1675"/>
      <c r="L342" s="1675"/>
      <c r="M342" s="1676"/>
      <c r="N342" s="1676"/>
      <c r="O342" s="1676"/>
      <c r="P342" s="1675"/>
      <c r="Q342" s="1675"/>
      <c r="R342" s="1675"/>
      <c r="S342" s="1675"/>
      <c r="T342" s="1675"/>
      <c r="U342" s="1675"/>
      <c r="V342" s="1675"/>
      <c r="W342" s="1675"/>
      <c r="X342" s="1675"/>
      <c r="Y342" s="1675"/>
      <c r="Z342" s="1675"/>
      <c r="AA342" s="1675"/>
    </row>
    <row r="343" spans="1:27" ht="13.5" customHeight="1" x14ac:dyDescent="0.3">
      <c r="A343" s="1675"/>
      <c r="B343" s="1675"/>
      <c r="C343" s="1678"/>
      <c r="D343" s="1771"/>
      <c r="E343" s="1771"/>
      <c r="F343" s="1771"/>
      <c r="G343" s="1689"/>
      <c r="H343" s="1674"/>
      <c r="I343" s="1675"/>
      <c r="J343" s="1675"/>
      <c r="K343" s="1675"/>
      <c r="L343" s="1675"/>
      <c r="M343" s="1676"/>
      <c r="N343" s="1676"/>
      <c r="O343" s="1676"/>
      <c r="P343" s="1675"/>
      <c r="Q343" s="1675"/>
      <c r="R343" s="1675"/>
      <c r="S343" s="1675"/>
      <c r="T343" s="1675"/>
      <c r="U343" s="1675"/>
      <c r="V343" s="1675"/>
      <c r="W343" s="1675"/>
      <c r="X343" s="1675"/>
      <c r="Y343" s="1675"/>
      <c r="Z343" s="1675"/>
      <c r="AA343" s="1675"/>
    </row>
    <row r="344" spans="1:27" ht="13.5" customHeight="1" x14ac:dyDescent="0.3">
      <c r="A344" s="1675"/>
      <c r="B344" s="1675"/>
      <c r="C344" s="1678"/>
      <c r="D344" s="1771"/>
      <c r="E344" s="1771"/>
      <c r="F344" s="1771"/>
      <c r="G344" s="1689"/>
      <c r="H344" s="1674"/>
      <c r="I344" s="1675"/>
      <c r="J344" s="1675"/>
      <c r="K344" s="1675"/>
      <c r="L344" s="1675"/>
      <c r="M344" s="1676"/>
      <c r="N344" s="1676"/>
      <c r="O344" s="1676"/>
      <c r="P344" s="1675"/>
      <c r="Q344" s="1675"/>
      <c r="R344" s="1675"/>
      <c r="S344" s="1675"/>
      <c r="T344" s="1675"/>
      <c r="U344" s="1675"/>
      <c r="V344" s="1675"/>
      <c r="W344" s="1675"/>
      <c r="X344" s="1675"/>
      <c r="Y344" s="1675"/>
      <c r="Z344" s="1675"/>
      <c r="AA344" s="1675"/>
    </row>
    <row r="345" spans="1:27" ht="13.5" customHeight="1" x14ac:dyDescent="0.3">
      <c r="A345" s="1675"/>
      <c r="B345" s="1675"/>
      <c r="C345" s="1678"/>
      <c r="D345" s="1771"/>
      <c r="E345" s="1771"/>
      <c r="F345" s="1771"/>
      <c r="G345" s="1689"/>
      <c r="H345" s="1674"/>
      <c r="I345" s="1675"/>
      <c r="J345" s="1675"/>
      <c r="K345" s="1675"/>
      <c r="L345" s="1675"/>
      <c r="M345" s="1676"/>
      <c r="N345" s="1676"/>
      <c r="O345" s="1676"/>
      <c r="P345" s="1675"/>
      <c r="Q345" s="1675"/>
      <c r="R345" s="1675"/>
      <c r="S345" s="1675"/>
      <c r="T345" s="1675"/>
      <c r="U345" s="1675"/>
      <c r="V345" s="1675"/>
      <c r="W345" s="1675"/>
      <c r="X345" s="1675"/>
      <c r="Y345" s="1675"/>
      <c r="Z345" s="1675"/>
      <c r="AA345" s="1675"/>
    </row>
    <row r="346" spans="1:27" ht="13.5" customHeight="1" x14ac:dyDescent="0.3">
      <c r="A346" s="1675"/>
      <c r="B346" s="1675"/>
      <c r="C346" s="1678"/>
      <c r="D346" s="1771"/>
      <c r="E346" s="1771"/>
      <c r="F346" s="1771"/>
      <c r="G346" s="1689"/>
      <c r="H346" s="1674"/>
      <c r="I346" s="1675"/>
      <c r="J346" s="1675"/>
      <c r="K346" s="1675"/>
      <c r="L346" s="1675"/>
      <c r="M346" s="1676"/>
      <c r="N346" s="1676"/>
      <c r="O346" s="1676"/>
      <c r="P346" s="1675"/>
      <c r="Q346" s="1675"/>
      <c r="R346" s="1675"/>
      <c r="S346" s="1675"/>
      <c r="T346" s="1675"/>
      <c r="U346" s="1675"/>
      <c r="V346" s="1675"/>
      <c r="W346" s="1675"/>
      <c r="X346" s="1675"/>
      <c r="Y346" s="1675"/>
      <c r="Z346" s="1675"/>
      <c r="AA346" s="1675"/>
    </row>
    <row r="347" spans="1:27" ht="13.5" customHeight="1" x14ac:dyDescent="0.3">
      <c r="A347" s="1675"/>
      <c r="B347" s="1675"/>
      <c r="C347" s="1678"/>
      <c r="D347" s="1771"/>
      <c r="E347" s="1771"/>
      <c r="F347" s="1771"/>
      <c r="G347" s="1689"/>
      <c r="H347" s="1674"/>
      <c r="I347" s="1675"/>
      <c r="J347" s="1675"/>
      <c r="K347" s="1675"/>
      <c r="L347" s="1675"/>
      <c r="M347" s="1676"/>
      <c r="N347" s="1676"/>
      <c r="O347" s="1676"/>
      <c r="P347" s="1675"/>
      <c r="Q347" s="1675"/>
      <c r="R347" s="1675"/>
      <c r="S347" s="1675"/>
      <c r="T347" s="1675"/>
      <c r="U347" s="1675"/>
      <c r="V347" s="1675"/>
      <c r="W347" s="1675"/>
      <c r="X347" s="1675"/>
      <c r="Y347" s="1675"/>
      <c r="Z347" s="1675"/>
      <c r="AA347" s="1675"/>
    </row>
    <row r="348" spans="1:27" ht="13.5" customHeight="1" x14ac:dyDescent="0.3">
      <c r="A348" s="1675"/>
      <c r="B348" s="1675"/>
      <c r="C348" s="1678"/>
      <c r="D348" s="1771"/>
      <c r="E348" s="1771"/>
      <c r="F348" s="1771"/>
      <c r="G348" s="1689"/>
      <c r="H348" s="1674"/>
      <c r="I348" s="1675"/>
      <c r="J348" s="1675"/>
      <c r="K348" s="1675"/>
      <c r="L348" s="1675"/>
      <c r="M348" s="1676"/>
      <c r="N348" s="1676"/>
      <c r="O348" s="1676"/>
      <c r="P348" s="1675"/>
      <c r="Q348" s="1675"/>
      <c r="R348" s="1675"/>
      <c r="S348" s="1675"/>
      <c r="T348" s="1675"/>
      <c r="U348" s="1675"/>
      <c r="V348" s="1675"/>
      <c r="W348" s="1675"/>
      <c r="X348" s="1675"/>
      <c r="Y348" s="1675"/>
      <c r="Z348" s="1675"/>
      <c r="AA348" s="1675"/>
    </row>
    <row r="349" spans="1:27" ht="13.5" customHeight="1" x14ac:dyDescent="0.3">
      <c r="A349" s="1675"/>
      <c r="B349" s="1675"/>
      <c r="C349" s="1678"/>
      <c r="D349" s="1771"/>
      <c r="E349" s="1771"/>
      <c r="F349" s="1771"/>
      <c r="G349" s="1689"/>
      <c r="H349" s="1674"/>
      <c r="I349" s="1675"/>
      <c r="J349" s="1675"/>
      <c r="K349" s="1675"/>
      <c r="L349" s="1675"/>
      <c r="M349" s="1676"/>
      <c r="N349" s="1676"/>
      <c r="O349" s="1676"/>
      <c r="P349" s="1675"/>
      <c r="Q349" s="1675"/>
      <c r="R349" s="1675"/>
      <c r="S349" s="1675"/>
      <c r="T349" s="1675"/>
      <c r="U349" s="1675"/>
      <c r="V349" s="1675"/>
      <c r="W349" s="1675"/>
      <c r="X349" s="1675"/>
      <c r="Y349" s="1675"/>
      <c r="Z349" s="1675"/>
      <c r="AA349" s="1675"/>
    </row>
    <row r="350" spans="1:27" ht="13.5" customHeight="1" x14ac:dyDescent="0.3">
      <c r="A350" s="1675"/>
      <c r="B350" s="1675"/>
      <c r="C350" s="1678"/>
      <c r="D350" s="1771"/>
      <c r="E350" s="1771"/>
      <c r="F350" s="1771"/>
      <c r="G350" s="1689"/>
      <c r="H350" s="1674"/>
      <c r="I350" s="1675"/>
      <c r="J350" s="1675"/>
      <c r="K350" s="1675"/>
      <c r="L350" s="1675"/>
      <c r="M350" s="1676"/>
      <c r="N350" s="1676"/>
      <c r="O350" s="1676"/>
      <c r="P350" s="1675"/>
      <c r="Q350" s="1675"/>
      <c r="R350" s="1675"/>
      <c r="S350" s="1675"/>
      <c r="T350" s="1675"/>
      <c r="U350" s="1675"/>
      <c r="V350" s="1675"/>
      <c r="W350" s="1675"/>
      <c r="X350" s="1675"/>
      <c r="Y350" s="1675"/>
      <c r="Z350" s="1675"/>
      <c r="AA350" s="1675"/>
    </row>
    <row r="351" spans="1:27" ht="13.5" customHeight="1" x14ac:dyDescent="0.3">
      <c r="A351" s="1675"/>
      <c r="B351" s="1675"/>
      <c r="C351" s="1678"/>
      <c r="D351" s="1771"/>
      <c r="E351" s="1771"/>
      <c r="F351" s="1771"/>
      <c r="G351" s="1689"/>
      <c r="H351" s="1674"/>
      <c r="I351" s="1675"/>
      <c r="J351" s="1675"/>
      <c r="K351" s="1675"/>
      <c r="L351" s="1675"/>
      <c r="M351" s="1676"/>
      <c r="N351" s="1676"/>
      <c r="O351" s="1676"/>
      <c r="P351" s="1675"/>
      <c r="Q351" s="1675"/>
      <c r="R351" s="1675"/>
      <c r="S351" s="1675"/>
      <c r="T351" s="1675"/>
      <c r="U351" s="1675"/>
      <c r="V351" s="1675"/>
      <c r="W351" s="1675"/>
      <c r="X351" s="1675"/>
      <c r="Y351" s="1675"/>
      <c r="Z351" s="1675"/>
      <c r="AA351" s="1675"/>
    </row>
    <row r="352" spans="1:27" ht="13.5" customHeight="1" x14ac:dyDescent="0.3">
      <c r="A352" s="1675"/>
      <c r="B352" s="1675"/>
      <c r="C352" s="1678"/>
      <c r="D352" s="1771"/>
      <c r="E352" s="1771"/>
      <c r="F352" s="1771"/>
      <c r="G352" s="1689"/>
      <c r="H352" s="1674"/>
      <c r="I352" s="1675"/>
      <c r="J352" s="1675"/>
      <c r="K352" s="1675"/>
      <c r="L352" s="1675"/>
      <c r="M352" s="1676"/>
      <c r="N352" s="1676"/>
      <c r="O352" s="1676"/>
      <c r="P352" s="1675"/>
      <c r="Q352" s="1675"/>
      <c r="R352" s="1675"/>
      <c r="S352" s="1675"/>
      <c r="T352" s="1675"/>
      <c r="U352" s="1675"/>
      <c r="V352" s="1675"/>
      <c r="W352" s="1675"/>
      <c r="X352" s="1675"/>
      <c r="Y352" s="1675"/>
      <c r="Z352" s="1675"/>
      <c r="AA352" s="1675"/>
    </row>
    <row r="353" spans="1:27" ht="13.5" customHeight="1" x14ac:dyDescent="0.3">
      <c r="A353" s="1675"/>
      <c r="B353" s="1675"/>
      <c r="C353" s="1678"/>
      <c r="D353" s="1771"/>
      <c r="E353" s="1771"/>
      <c r="F353" s="1771"/>
      <c r="G353" s="1689"/>
      <c r="H353" s="1674"/>
      <c r="I353" s="1675"/>
      <c r="J353" s="1675"/>
      <c r="K353" s="1675"/>
      <c r="L353" s="1675"/>
      <c r="M353" s="1676"/>
      <c r="N353" s="1676"/>
      <c r="O353" s="1676"/>
      <c r="P353" s="1675"/>
      <c r="Q353" s="1675"/>
      <c r="R353" s="1675"/>
      <c r="S353" s="1675"/>
      <c r="T353" s="1675"/>
      <c r="U353" s="1675"/>
      <c r="V353" s="1675"/>
      <c r="W353" s="1675"/>
      <c r="X353" s="1675"/>
      <c r="Y353" s="1675"/>
      <c r="Z353" s="1675"/>
      <c r="AA353" s="1675"/>
    </row>
    <row r="354" spans="1:27" ht="13.5" customHeight="1" x14ac:dyDescent="0.3">
      <c r="A354" s="1675"/>
      <c r="B354" s="1675"/>
      <c r="C354" s="1678"/>
      <c r="D354" s="1771"/>
      <c r="E354" s="1771"/>
      <c r="F354" s="1771"/>
      <c r="G354" s="1689"/>
      <c r="H354" s="1674"/>
      <c r="I354" s="1675"/>
      <c r="J354" s="1675"/>
      <c r="K354" s="1675"/>
      <c r="L354" s="1675"/>
      <c r="M354" s="1676"/>
      <c r="N354" s="1676"/>
      <c r="O354" s="1676"/>
      <c r="P354" s="1675"/>
      <c r="Q354" s="1675"/>
      <c r="R354" s="1675"/>
      <c r="S354" s="1675"/>
      <c r="T354" s="1675"/>
      <c r="U354" s="1675"/>
      <c r="V354" s="1675"/>
      <c r="W354" s="1675"/>
      <c r="X354" s="1675"/>
      <c r="Y354" s="1675"/>
      <c r="Z354" s="1675"/>
      <c r="AA354" s="1675"/>
    </row>
    <row r="355" spans="1:27" ht="13.5" customHeight="1" x14ac:dyDescent="0.3">
      <c r="A355" s="1675"/>
      <c r="B355" s="1675"/>
      <c r="C355" s="1678"/>
      <c r="D355" s="1771"/>
      <c r="E355" s="1771"/>
      <c r="F355" s="1771"/>
      <c r="G355" s="1689"/>
      <c r="H355" s="1674"/>
      <c r="I355" s="1675"/>
      <c r="J355" s="1675"/>
      <c r="K355" s="1675"/>
      <c r="L355" s="1675"/>
      <c r="M355" s="1676"/>
      <c r="N355" s="1676"/>
      <c r="O355" s="1676"/>
      <c r="P355" s="1675"/>
      <c r="Q355" s="1675"/>
      <c r="R355" s="1675"/>
      <c r="S355" s="1675"/>
      <c r="T355" s="1675"/>
      <c r="U355" s="1675"/>
      <c r="V355" s="1675"/>
      <c r="W355" s="1675"/>
      <c r="X355" s="1675"/>
      <c r="Y355" s="1675"/>
      <c r="Z355" s="1675"/>
      <c r="AA355" s="1675"/>
    </row>
    <row r="356" spans="1:27" ht="13.5" customHeight="1" x14ac:dyDescent="0.3">
      <c r="A356" s="1675"/>
      <c r="B356" s="1675"/>
      <c r="C356" s="1678"/>
      <c r="D356" s="1771"/>
      <c r="E356" s="1771"/>
      <c r="F356" s="1771"/>
      <c r="G356" s="1689"/>
      <c r="H356" s="1674"/>
      <c r="I356" s="1675"/>
      <c r="J356" s="1675"/>
      <c r="K356" s="1675"/>
      <c r="L356" s="1675"/>
      <c r="M356" s="1676"/>
      <c r="N356" s="1676"/>
      <c r="O356" s="1676"/>
      <c r="P356" s="1675"/>
      <c r="Q356" s="1675"/>
      <c r="R356" s="1675"/>
      <c r="S356" s="1675"/>
      <c r="T356" s="1675"/>
      <c r="U356" s="1675"/>
      <c r="V356" s="1675"/>
      <c r="W356" s="1675"/>
      <c r="X356" s="1675"/>
      <c r="Y356" s="1675"/>
      <c r="Z356" s="1675"/>
      <c r="AA356" s="1675"/>
    </row>
    <row r="357" spans="1:27" ht="13.5" customHeight="1" x14ac:dyDescent="0.3">
      <c r="A357" s="1675"/>
      <c r="B357" s="1675"/>
      <c r="C357" s="1678"/>
      <c r="D357" s="1771"/>
      <c r="E357" s="1771"/>
      <c r="F357" s="1771"/>
      <c r="G357" s="1689"/>
      <c r="H357" s="1674"/>
      <c r="I357" s="1675"/>
      <c r="J357" s="1675"/>
      <c r="K357" s="1675"/>
      <c r="L357" s="1675"/>
      <c r="M357" s="1676"/>
      <c r="N357" s="1676"/>
      <c r="O357" s="1676"/>
      <c r="P357" s="1675"/>
      <c r="Q357" s="1675"/>
      <c r="R357" s="1675"/>
      <c r="S357" s="1675"/>
      <c r="T357" s="1675"/>
      <c r="U357" s="1675"/>
      <c r="V357" s="1675"/>
      <c r="W357" s="1675"/>
      <c r="X357" s="1675"/>
      <c r="Y357" s="1675"/>
      <c r="Z357" s="1675"/>
      <c r="AA357" s="1675"/>
    </row>
    <row r="358" spans="1:27" ht="13.5" customHeight="1" x14ac:dyDescent="0.3">
      <c r="A358" s="1675"/>
      <c r="B358" s="1675"/>
      <c r="C358" s="1678"/>
      <c r="D358" s="1771"/>
      <c r="E358" s="1771"/>
      <c r="F358" s="1771"/>
      <c r="G358" s="1689"/>
      <c r="H358" s="1674"/>
      <c r="I358" s="1675"/>
      <c r="J358" s="1675"/>
      <c r="K358" s="1675"/>
      <c r="L358" s="1675"/>
      <c r="M358" s="1676"/>
      <c r="N358" s="1676"/>
      <c r="O358" s="1676"/>
      <c r="P358" s="1675"/>
      <c r="Q358" s="1675"/>
      <c r="R358" s="1675"/>
      <c r="S358" s="1675"/>
      <c r="T358" s="1675"/>
      <c r="U358" s="1675"/>
      <c r="V358" s="1675"/>
      <c r="W358" s="1675"/>
      <c r="X358" s="1675"/>
      <c r="Y358" s="1675"/>
      <c r="Z358" s="1675"/>
      <c r="AA358" s="1675"/>
    </row>
    <row r="359" spans="1:27" ht="13.5" customHeight="1" x14ac:dyDescent="0.3">
      <c r="A359" s="1675"/>
      <c r="B359" s="1675"/>
      <c r="C359" s="1678"/>
      <c r="D359" s="1771"/>
      <c r="E359" s="1771"/>
      <c r="F359" s="1771"/>
      <c r="G359" s="1689"/>
      <c r="H359" s="1674"/>
      <c r="I359" s="1675"/>
      <c r="J359" s="1675"/>
      <c r="K359" s="1675"/>
      <c r="L359" s="1675"/>
      <c r="M359" s="1676"/>
      <c r="N359" s="1676"/>
      <c r="O359" s="1676"/>
      <c r="P359" s="1675"/>
      <c r="Q359" s="1675"/>
      <c r="R359" s="1675"/>
      <c r="S359" s="1675"/>
      <c r="T359" s="1675"/>
      <c r="U359" s="1675"/>
      <c r="V359" s="1675"/>
      <c r="W359" s="1675"/>
      <c r="X359" s="1675"/>
      <c r="Y359" s="1675"/>
      <c r="Z359" s="1675"/>
      <c r="AA359" s="1675"/>
    </row>
    <row r="360" spans="1:27" ht="13.5" customHeight="1" x14ac:dyDescent="0.3">
      <c r="A360" s="1675"/>
      <c r="B360" s="1675"/>
      <c r="C360" s="1678"/>
      <c r="D360" s="1771"/>
      <c r="E360" s="1771"/>
      <c r="F360" s="1771"/>
      <c r="G360" s="1689"/>
      <c r="H360" s="1674"/>
      <c r="I360" s="1675"/>
      <c r="J360" s="1675"/>
      <c r="K360" s="1675"/>
      <c r="L360" s="1675"/>
      <c r="M360" s="1676"/>
      <c r="N360" s="1676"/>
      <c r="O360" s="1676"/>
      <c r="P360" s="1675"/>
      <c r="Q360" s="1675"/>
      <c r="R360" s="1675"/>
      <c r="S360" s="1675"/>
      <c r="T360" s="1675"/>
      <c r="U360" s="1675"/>
      <c r="V360" s="1675"/>
      <c r="W360" s="1675"/>
      <c r="X360" s="1675"/>
      <c r="Y360" s="1675"/>
      <c r="Z360" s="1675"/>
      <c r="AA360" s="1675"/>
    </row>
    <row r="361" spans="1:27" ht="13.5" customHeight="1" x14ac:dyDescent="0.3">
      <c r="A361" s="1675"/>
      <c r="B361" s="1675"/>
      <c r="C361" s="1678"/>
      <c r="D361" s="1771"/>
      <c r="E361" s="1771"/>
      <c r="F361" s="1771"/>
      <c r="G361" s="1689"/>
      <c r="H361" s="1674"/>
      <c r="I361" s="1675"/>
      <c r="J361" s="1675"/>
      <c r="K361" s="1675"/>
      <c r="L361" s="1675"/>
      <c r="M361" s="1676"/>
      <c r="N361" s="1676"/>
      <c r="O361" s="1676"/>
      <c r="P361" s="1675"/>
      <c r="Q361" s="1675"/>
      <c r="R361" s="1675"/>
      <c r="S361" s="1675"/>
      <c r="T361" s="1675"/>
      <c r="U361" s="1675"/>
      <c r="V361" s="1675"/>
      <c r="W361" s="1675"/>
      <c r="X361" s="1675"/>
      <c r="Y361" s="1675"/>
      <c r="Z361" s="1675"/>
      <c r="AA361" s="1675"/>
    </row>
    <row r="362" spans="1:27" ht="13.5" customHeight="1" x14ac:dyDescent="0.3">
      <c r="A362" s="1675"/>
      <c r="B362" s="1675"/>
      <c r="C362" s="1678"/>
      <c r="D362" s="1771"/>
      <c r="E362" s="1771"/>
      <c r="F362" s="1771"/>
      <c r="G362" s="1689"/>
      <c r="H362" s="1674"/>
      <c r="I362" s="1675"/>
      <c r="J362" s="1675"/>
      <c r="K362" s="1675"/>
      <c r="L362" s="1675"/>
      <c r="M362" s="1676"/>
      <c r="N362" s="1676"/>
      <c r="O362" s="1676"/>
      <c r="P362" s="1675"/>
      <c r="Q362" s="1675"/>
      <c r="R362" s="1675"/>
      <c r="S362" s="1675"/>
      <c r="T362" s="1675"/>
      <c r="U362" s="1675"/>
      <c r="V362" s="1675"/>
      <c r="W362" s="1675"/>
      <c r="X362" s="1675"/>
      <c r="Y362" s="1675"/>
      <c r="Z362" s="1675"/>
      <c r="AA362" s="1675"/>
    </row>
    <row r="363" spans="1:27" ht="13.5" customHeight="1" x14ac:dyDescent="0.3">
      <c r="A363" s="1675"/>
      <c r="B363" s="1675"/>
      <c r="C363" s="1678"/>
      <c r="D363" s="1771"/>
      <c r="E363" s="1771"/>
      <c r="F363" s="1771"/>
      <c r="G363" s="1689"/>
      <c r="H363" s="1674"/>
      <c r="I363" s="1675"/>
      <c r="J363" s="1675"/>
      <c r="K363" s="1675"/>
      <c r="L363" s="1675"/>
      <c r="M363" s="1676"/>
      <c r="N363" s="1676"/>
      <c r="O363" s="1676"/>
      <c r="P363" s="1675"/>
      <c r="Q363" s="1675"/>
      <c r="R363" s="1675"/>
      <c r="S363" s="1675"/>
      <c r="T363" s="1675"/>
      <c r="U363" s="1675"/>
      <c r="V363" s="1675"/>
      <c r="W363" s="1675"/>
      <c r="X363" s="1675"/>
      <c r="Y363" s="1675"/>
      <c r="Z363" s="1675"/>
      <c r="AA363" s="1675"/>
    </row>
    <row r="364" spans="1:27" ht="13.5" customHeight="1" x14ac:dyDescent="0.3">
      <c r="A364" s="1675"/>
      <c r="B364" s="1675"/>
      <c r="C364" s="1678"/>
      <c r="D364" s="1771"/>
      <c r="E364" s="1771"/>
      <c r="F364" s="1771"/>
      <c r="G364" s="1689"/>
      <c r="H364" s="1674"/>
      <c r="I364" s="1675"/>
      <c r="J364" s="1675"/>
      <c r="K364" s="1675"/>
      <c r="L364" s="1675"/>
      <c r="M364" s="1676"/>
      <c r="N364" s="1676"/>
      <c r="O364" s="1676"/>
      <c r="P364" s="1675"/>
      <c r="Q364" s="1675"/>
      <c r="R364" s="1675"/>
      <c r="S364" s="1675"/>
      <c r="T364" s="1675"/>
      <c r="U364" s="1675"/>
      <c r="V364" s="1675"/>
      <c r="W364" s="1675"/>
      <c r="X364" s="1675"/>
      <c r="Y364" s="1675"/>
      <c r="Z364" s="1675"/>
      <c r="AA364" s="1675"/>
    </row>
    <row r="365" spans="1:27" ht="13.5" customHeight="1" x14ac:dyDescent="0.3">
      <c r="A365" s="1675"/>
      <c r="B365" s="1675"/>
      <c r="C365" s="1678"/>
      <c r="D365" s="1771"/>
      <c r="E365" s="1771"/>
      <c r="F365" s="1771"/>
      <c r="G365" s="1689"/>
      <c r="H365" s="1674"/>
      <c r="I365" s="1675"/>
      <c r="J365" s="1675"/>
      <c r="K365" s="1675"/>
      <c r="L365" s="1675"/>
      <c r="M365" s="1676"/>
      <c r="N365" s="1676"/>
      <c r="O365" s="1676"/>
      <c r="P365" s="1675"/>
      <c r="Q365" s="1675"/>
      <c r="R365" s="1675"/>
      <c r="S365" s="1675"/>
      <c r="T365" s="1675"/>
      <c r="U365" s="1675"/>
      <c r="V365" s="1675"/>
      <c r="W365" s="1675"/>
      <c r="X365" s="1675"/>
      <c r="Y365" s="1675"/>
      <c r="Z365" s="1675"/>
      <c r="AA365" s="1675"/>
    </row>
    <row r="366" spans="1:27" ht="13.5" customHeight="1" x14ac:dyDescent="0.3">
      <c r="A366" s="1675"/>
      <c r="B366" s="1675"/>
      <c r="C366" s="1678"/>
      <c r="D366" s="1771"/>
      <c r="E366" s="1771"/>
      <c r="F366" s="1771"/>
      <c r="G366" s="1689"/>
      <c r="H366" s="1674"/>
      <c r="I366" s="1675"/>
      <c r="J366" s="1675"/>
      <c r="K366" s="1675"/>
      <c r="L366" s="1675"/>
      <c r="M366" s="1676"/>
      <c r="N366" s="1676"/>
      <c r="O366" s="1676"/>
      <c r="P366" s="1675"/>
      <c r="Q366" s="1675"/>
      <c r="R366" s="1675"/>
      <c r="S366" s="1675"/>
      <c r="T366" s="1675"/>
      <c r="U366" s="1675"/>
      <c r="V366" s="1675"/>
      <c r="W366" s="1675"/>
      <c r="X366" s="1675"/>
      <c r="Y366" s="1675"/>
      <c r="Z366" s="1675"/>
      <c r="AA366" s="1675"/>
    </row>
    <row r="367" spans="1:27" ht="13.5" customHeight="1" x14ac:dyDescent="0.3">
      <c r="A367" s="1675"/>
      <c r="B367" s="1675"/>
      <c r="C367" s="1678"/>
      <c r="D367" s="1771"/>
      <c r="E367" s="1771"/>
      <c r="F367" s="1771"/>
      <c r="G367" s="1689"/>
      <c r="H367" s="1674"/>
      <c r="I367" s="1675"/>
      <c r="J367" s="1675"/>
      <c r="K367" s="1675"/>
      <c r="L367" s="1675"/>
      <c r="M367" s="1676"/>
      <c r="N367" s="1676"/>
      <c r="O367" s="1676"/>
      <c r="P367" s="1675"/>
      <c r="Q367" s="1675"/>
      <c r="R367" s="1675"/>
      <c r="S367" s="1675"/>
      <c r="T367" s="1675"/>
      <c r="U367" s="1675"/>
      <c r="V367" s="1675"/>
      <c r="W367" s="1675"/>
      <c r="X367" s="1675"/>
      <c r="Y367" s="1675"/>
      <c r="Z367" s="1675"/>
      <c r="AA367" s="1675"/>
    </row>
    <row r="368" spans="1:27" ht="13.5" customHeight="1" x14ac:dyDescent="0.3">
      <c r="A368" s="1675"/>
      <c r="B368" s="1675"/>
      <c r="C368" s="1678"/>
      <c r="D368" s="1771"/>
      <c r="E368" s="1771"/>
      <c r="F368" s="1771"/>
      <c r="G368" s="1689"/>
      <c r="H368" s="1674"/>
      <c r="I368" s="1675"/>
      <c r="J368" s="1675"/>
      <c r="K368" s="1675"/>
      <c r="L368" s="1675"/>
      <c r="M368" s="1676"/>
      <c r="N368" s="1676"/>
      <c r="O368" s="1676"/>
      <c r="P368" s="1675"/>
      <c r="Q368" s="1675"/>
      <c r="R368" s="1675"/>
      <c r="S368" s="1675"/>
      <c r="T368" s="1675"/>
      <c r="U368" s="1675"/>
      <c r="V368" s="1675"/>
      <c r="W368" s="1675"/>
      <c r="X368" s="1675"/>
      <c r="Y368" s="1675"/>
      <c r="Z368" s="1675"/>
      <c r="AA368" s="1675"/>
    </row>
    <row r="369" spans="1:27" ht="13.5" customHeight="1" x14ac:dyDescent="0.3">
      <c r="A369" s="1675"/>
      <c r="B369" s="1675"/>
      <c r="C369" s="1678"/>
      <c r="D369" s="1771"/>
      <c r="E369" s="1771"/>
      <c r="F369" s="1771"/>
      <c r="G369" s="1689"/>
      <c r="H369" s="1674"/>
      <c r="I369" s="1675"/>
      <c r="J369" s="1675"/>
      <c r="K369" s="1675"/>
      <c r="L369" s="1675"/>
      <c r="M369" s="1676"/>
      <c r="N369" s="1676"/>
      <c r="O369" s="1676"/>
      <c r="P369" s="1675"/>
      <c r="Q369" s="1675"/>
      <c r="R369" s="1675"/>
      <c r="S369" s="1675"/>
      <c r="T369" s="1675"/>
      <c r="U369" s="1675"/>
      <c r="V369" s="1675"/>
      <c r="W369" s="1675"/>
      <c r="X369" s="1675"/>
      <c r="Y369" s="1675"/>
      <c r="Z369" s="1675"/>
      <c r="AA369" s="1675"/>
    </row>
    <row r="370" spans="1:27" ht="13.5" customHeight="1" x14ac:dyDescent="0.3">
      <c r="A370" s="1675"/>
      <c r="B370" s="1675"/>
      <c r="C370" s="1678"/>
      <c r="D370" s="1771"/>
      <c r="E370" s="1771"/>
      <c r="F370" s="1771"/>
      <c r="G370" s="1689"/>
      <c r="H370" s="1674"/>
      <c r="I370" s="1675"/>
      <c r="J370" s="1675"/>
      <c r="K370" s="1675"/>
      <c r="L370" s="1675"/>
      <c r="M370" s="1676"/>
      <c r="N370" s="1676"/>
      <c r="O370" s="1676"/>
      <c r="P370" s="1675"/>
      <c r="Q370" s="1675"/>
      <c r="R370" s="1675"/>
      <c r="S370" s="1675"/>
      <c r="T370" s="1675"/>
      <c r="U370" s="1675"/>
      <c r="V370" s="1675"/>
      <c r="W370" s="1675"/>
      <c r="X370" s="1675"/>
      <c r="Y370" s="1675"/>
      <c r="Z370" s="1675"/>
      <c r="AA370" s="1675"/>
    </row>
    <row r="371" spans="1:27" ht="13.5" customHeight="1" x14ac:dyDescent="0.3">
      <c r="A371" s="1675"/>
      <c r="B371" s="1675"/>
      <c r="C371" s="1678"/>
      <c r="D371" s="1771"/>
      <c r="E371" s="1771"/>
      <c r="F371" s="1771"/>
      <c r="G371" s="1689"/>
      <c r="H371" s="1674"/>
      <c r="I371" s="1675"/>
      <c r="J371" s="1675"/>
      <c r="K371" s="1675"/>
      <c r="L371" s="1675"/>
      <c r="M371" s="1676"/>
      <c r="N371" s="1676"/>
      <c r="O371" s="1676"/>
      <c r="P371" s="1675"/>
      <c r="Q371" s="1675"/>
      <c r="R371" s="1675"/>
      <c r="S371" s="1675"/>
      <c r="T371" s="1675"/>
      <c r="U371" s="1675"/>
      <c r="V371" s="1675"/>
      <c r="W371" s="1675"/>
      <c r="X371" s="1675"/>
      <c r="Y371" s="1675"/>
      <c r="Z371" s="1675"/>
      <c r="AA371" s="1675"/>
    </row>
    <row r="372" spans="1:27" ht="13.5" customHeight="1" x14ac:dyDescent="0.3">
      <c r="A372" s="1675"/>
      <c r="B372" s="1675"/>
      <c r="C372" s="1678"/>
      <c r="D372" s="1771"/>
      <c r="E372" s="1771"/>
      <c r="F372" s="1771"/>
      <c r="G372" s="1689"/>
      <c r="H372" s="1674"/>
      <c r="I372" s="1675"/>
      <c r="J372" s="1675"/>
      <c r="K372" s="1675"/>
      <c r="L372" s="1675"/>
      <c r="M372" s="1676"/>
      <c r="N372" s="1676"/>
      <c r="O372" s="1676"/>
      <c r="P372" s="1675"/>
      <c r="Q372" s="1675"/>
      <c r="R372" s="1675"/>
      <c r="S372" s="1675"/>
      <c r="T372" s="1675"/>
      <c r="U372" s="1675"/>
      <c r="V372" s="1675"/>
      <c r="W372" s="1675"/>
      <c r="X372" s="1675"/>
      <c r="Y372" s="1675"/>
      <c r="Z372" s="1675"/>
      <c r="AA372" s="1675"/>
    </row>
    <row r="373" spans="1:27" ht="13.5" customHeight="1" x14ac:dyDescent="0.3">
      <c r="A373" s="1675"/>
      <c r="B373" s="1675"/>
      <c r="C373" s="1678"/>
      <c r="D373" s="1771"/>
      <c r="E373" s="1771"/>
      <c r="F373" s="1771"/>
      <c r="G373" s="1689"/>
      <c r="H373" s="1674"/>
      <c r="I373" s="1675"/>
      <c r="J373" s="1675"/>
      <c r="K373" s="1675"/>
      <c r="L373" s="1675"/>
      <c r="M373" s="1676"/>
      <c r="N373" s="1676"/>
      <c r="O373" s="1676"/>
      <c r="P373" s="1675"/>
      <c r="Q373" s="1675"/>
      <c r="R373" s="1675"/>
      <c r="S373" s="1675"/>
      <c r="T373" s="1675"/>
      <c r="U373" s="1675"/>
      <c r="V373" s="1675"/>
      <c r="W373" s="1675"/>
      <c r="X373" s="1675"/>
      <c r="Y373" s="1675"/>
      <c r="Z373" s="1675"/>
      <c r="AA373" s="1675"/>
    </row>
    <row r="374" spans="1:27" ht="13.5" customHeight="1" x14ac:dyDescent="0.3">
      <c r="A374" s="1675"/>
      <c r="B374" s="1675"/>
      <c r="C374" s="1678"/>
      <c r="D374" s="1771"/>
      <c r="E374" s="1771"/>
      <c r="F374" s="1771"/>
      <c r="G374" s="1689"/>
      <c r="H374" s="1674"/>
      <c r="I374" s="1675"/>
      <c r="J374" s="1675"/>
      <c r="K374" s="1675"/>
      <c r="L374" s="1675"/>
      <c r="M374" s="1676"/>
      <c r="N374" s="1676"/>
      <c r="O374" s="1676"/>
      <c r="P374" s="1675"/>
      <c r="Q374" s="1675"/>
      <c r="R374" s="1675"/>
      <c r="S374" s="1675"/>
      <c r="T374" s="1675"/>
      <c r="U374" s="1675"/>
      <c r="V374" s="1675"/>
      <c r="W374" s="1675"/>
      <c r="X374" s="1675"/>
      <c r="Y374" s="1675"/>
      <c r="Z374" s="1675"/>
      <c r="AA374" s="1675"/>
    </row>
    <row r="375" spans="1:27" ht="13.5" customHeight="1" x14ac:dyDescent="0.3">
      <c r="A375" s="1675"/>
      <c r="B375" s="1675"/>
      <c r="C375" s="1678"/>
      <c r="D375" s="1771"/>
      <c r="E375" s="1771"/>
      <c r="F375" s="1771"/>
      <c r="G375" s="1689"/>
      <c r="H375" s="1674"/>
      <c r="I375" s="1675"/>
      <c r="J375" s="1675"/>
      <c r="K375" s="1675"/>
      <c r="L375" s="1675"/>
      <c r="M375" s="1676"/>
      <c r="N375" s="1676"/>
      <c r="O375" s="1676"/>
      <c r="P375" s="1675"/>
      <c r="Q375" s="1675"/>
      <c r="R375" s="1675"/>
      <c r="S375" s="1675"/>
      <c r="T375" s="1675"/>
      <c r="U375" s="1675"/>
      <c r="V375" s="1675"/>
      <c r="W375" s="1675"/>
      <c r="X375" s="1675"/>
      <c r="Y375" s="1675"/>
      <c r="Z375" s="1675"/>
      <c r="AA375" s="1675"/>
    </row>
    <row r="376" spans="1:27" ht="13.5" customHeight="1" x14ac:dyDescent="0.3">
      <c r="A376" s="1675"/>
      <c r="B376" s="1675"/>
      <c r="C376" s="1678"/>
      <c r="D376" s="1771"/>
      <c r="E376" s="1771"/>
      <c r="F376" s="1771"/>
      <c r="G376" s="1689"/>
      <c r="H376" s="1674"/>
      <c r="I376" s="1675"/>
      <c r="J376" s="1675"/>
      <c r="K376" s="1675"/>
      <c r="L376" s="1675"/>
      <c r="M376" s="1676"/>
      <c r="N376" s="1676"/>
      <c r="O376" s="1676"/>
      <c r="P376" s="1675"/>
      <c r="Q376" s="1675"/>
      <c r="R376" s="1675"/>
      <c r="S376" s="1675"/>
      <c r="T376" s="1675"/>
      <c r="U376" s="1675"/>
      <c r="V376" s="1675"/>
      <c r="W376" s="1675"/>
      <c r="X376" s="1675"/>
      <c r="Y376" s="1675"/>
      <c r="Z376" s="1675"/>
      <c r="AA376" s="1675"/>
    </row>
    <row r="377" spans="1:27" ht="13.5" customHeight="1" x14ac:dyDescent="0.3">
      <c r="A377" s="1675"/>
      <c r="B377" s="1675"/>
      <c r="C377" s="1678"/>
      <c r="D377" s="1771"/>
      <c r="E377" s="1771"/>
      <c r="F377" s="1771"/>
      <c r="G377" s="1689"/>
      <c r="H377" s="1674"/>
      <c r="I377" s="1675"/>
      <c r="J377" s="1675"/>
      <c r="K377" s="1675"/>
      <c r="L377" s="1675"/>
      <c r="M377" s="1676"/>
      <c r="N377" s="1676"/>
      <c r="O377" s="1676"/>
      <c r="P377" s="1675"/>
      <c r="Q377" s="1675"/>
      <c r="R377" s="1675"/>
      <c r="S377" s="1675"/>
      <c r="T377" s="1675"/>
      <c r="U377" s="1675"/>
      <c r="V377" s="1675"/>
      <c r="W377" s="1675"/>
      <c r="X377" s="1675"/>
      <c r="Y377" s="1675"/>
      <c r="Z377" s="1675"/>
      <c r="AA377" s="1675"/>
    </row>
    <row r="378" spans="1:27" ht="13.5" customHeight="1" x14ac:dyDescent="0.3">
      <c r="A378" s="1675"/>
      <c r="B378" s="1675"/>
      <c r="C378" s="1678"/>
      <c r="D378" s="1771"/>
      <c r="E378" s="1771"/>
      <c r="F378" s="1771"/>
      <c r="G378" s="1689"/>
      <c r="H378" s="1674"/>
      <c r="I378" s="1675"/>
      <c r="J378" s="1675"/>
      <c r="K378" s="1675"/>
      <c r="L378" s="1675"/>
      <c r="M378" s="1676"/>
      <c r="N378" s="1676"/>
      <c r="O378" s="1676"/>
      <c r="P378" s="1675"/>
      <c r="Q378" s="1675"/>
      <c r="R378" s="1675"/>
      <c r="S378" s="1675"/>
      <c r="T378" s="1675"/>
      <c r="U378" s="1675"/>
      <c r="V378" s="1675"/>
      <c r="W378" s="1675"/>
      <c r="X378" s="1675"/>
      <c r="Y378" s="1675"/>
      <c r="Z378" s="1675"/>
      <c r="AA378" s="1675"/>
    </row>
    <row r="379" spans="1:27" ht="13.5" customHeight="1" x14ac:dyDescent="0.3">
      <c r="A379" s="1675"/>
      <c r="B379" s="1675"/>
      <c r="C379" s="1678"/>
      <c r="D379" s="1771"/>
      <c r="E379" s="1771"/>
      <c r="F379" s="1771"/>
      <c r="G379" s="1689"/>
      <c r="H379" s="1674"/>
      <c r="I379" s="1675"/>
      <c r="J379" s="1675"/>
      <c r="K379" s="1675"/>
      <c r="L379" s="1675"/>
      <c r="M379" s="1676"/>
      <c r="N379" s="1676"/>
      <c r="O379" s="1676"/>
      <c r="P379" s="1675"/>
      <c r="Q379" s="1675"/>
      <c r="R379" s="1675"/>
      <c r="S379" s="1675"/>
      <c r="T379" s="1675"/>
      <c r="U379" s="1675"/>
      <c r="V379" s="1675"/>
      <c r="W379" s="1675"/>
      <c r="X379" s="1675"/>
      <c r="Y379" s="1675"/>
      <c r="Z379" s="1675"/>
      <c r="AA379" s="1675"/>
    </row>
    <row r="380" spans="1:27" ht="13.5" customHeight="1" x14ac:dyDescent="0.3">
      <c r="A380" s="1675"/>
      <c r="B380" s="1675"/>
      <c r="C380" s="1678"/>
      <c r="D380" s="1771"/>
      <c r="E380" s="1771"/>
      <c r="F380" s="1771"/>
      <c r="G380" s="1689"/>
      <c r="H380" s="1674"/>
      <c r="I380" s="1675"/>
      <c r="J380" s="1675"/>
      <c r="K380" s="1675"/>
      <c r="L380" s="1675"/>
      <c r="M380" s="1676"/>
      <c r="N380" s="1676"/>
      <c r="O380" s="1676"/>
      <c r="P380" s="1675"/>
      <c r="Q380" s="1675"/>
      <c r="R380" s="1675"/>
      <c r="S380" s="1675"/>
      <c r="T380" s="1675"/>
      <c r="U380" s="1675"/>
      <c r="V380" s="1675"/>
      <c r="W380" s="1675"/>
      <c r="X380" s="1675"/>
      <c r="Y380" s="1675"/>
      <c r="Z380" s="1675"/>
      <c r="AA380" s="1675"/>
    </row>
    <row r="381" spans="1:27" ht="13.5" customHeight="1" x14ac:dyDescent="0.3">
      <c r="A381" s="1675"/>
      <c r="B381" s="1675"/>
      <c r="C381" s="1678"/>
      <c r="D381" s="1771"/>
      <c r="E381" s="1771"/>
      <c r="F381" s="1771"/>
      <c r="G381" s="1689"/>
      <c r="H381" s="1674"/>
      <c r="I381" s="1675"/>
      <c r="J381" s="1675"/>
      <c r="K381" s="1675"/>
      <c r="L381" s="1675"/>
      <c r="M381" s="1676"/>
      <c r="N381" s="1676"/>
      <c r="O381" s="1676"/>
      <c r="P381" s="1675"/>
      <c r="Q381" s="1675"/>
      <c r="R381" s="1675"/>
      <c r="S381" s="1675"/>
      <c r="T381" s="1675"/>
      <c r="U381" s="1675"/>
      <c r="V381" s="1675"/>
      <c r="W381" s="1675"/>
      <c r="X381" s="1675"/>
      <c r="Y381" s="1675"/>
      <c r="Z381" s="1675"/>
      <c r="AA381" s="1675"/>
    </row>
    <row r="382" spans="1:27" ht="13.5" customHeight="1" x14ac:dyDescent="0.3">
      <c r="A382" s="1675"/>
      <c r="B382" s="1675"/>
      <c r="C382" s="1678"/>
      <c r="D382" s="1771"/>
      <c r="E382" s="1771"/>
      <c r="F382" s="1771"/>
      <c r="G382" s="1689"/>
      <c r="H382" s="1674"/>
      <c r="I382" s="1675"/>
      <c r="J382" s="1675"/>
      <c r="K382" s="1675"/>
      <c r="L382" s="1675"/>
      <c r="M382" s="1676"/>
      <c r="N382" s="1676"/>
      <c r="O382" s="1676"/>
      <c r="P382" s="1675"/>
      <c r="Q382" s="1675"/>
      <c r="R382" s="1675"/>
      <c r="S382" s="1675"/>
      <c r="T382" s="1675"/>
      <c r="U382" s="1675"/>
      <c r="V382" s="1675"/>
      <c r="W382" s="1675"/>
      <c r="X382" s="1675"/>
      <c r="Y382" s="1675"/>
      <c r="Z382" s="1675"/>
      <c r="AA382" s="1675"/>
    </row>
    <row r="383" spans="1:27" ht="13.5" customHeight="1" x14ac:dyDescent="0.3">
      <c r="A383" s="1675"/>
      <c r="B383" s="1675"/>
      <c r="C383" s="1678"/>
      <c r="D383" s="1771"/>
      <c r="E383" s="1771"/>
      <c r="F383" s="1771"/>
      <c r="G383" s="1689"/>
      <c r="H383" s="1674"/>
      <c r="I383" s="1675"/>
      <c r="J383" s="1675"/>
      <c r="K383" s="1675"/>
      <c r="L383" s="1675"/>
      <c r="M383" s="1676"/>
      <c r="N383" s="1676"/>
      <c r="O383" s="1676"/>
      <c r="P383" s="1675"/>
      <c r="Q383" s="1675"/>
      <c r="R383" s="1675"/>
      <c r="S383" s="1675"/>
      <c r="T383" s="1675"/>
      <c r="U383" s="1675"/>
      <c r="V383" s="1675"/>
      <c r="W383" s="1675"/>
      <c r="X383" s="1675"/>
      <c r="Y383" s="1675"/>
      <c r="Z383" s="1675"/>
      <c r="AA383" s="1675"/>
    </row>
    <row r="384" spans="1:27" ht="13.5" customHeight="1" x14ac:dyDescent="0.3">
      <c r="A384" s="1675"/>
      <c r="B384" s="1675"/>
      <c r="C384" s="1678"/>
      <c r="D384" s="1771"/>
      <c r="E384" s="1771"/>
      <c r="F384" s="1771"/>
      <c r="G384" s="1689"/>
      <c r="H384" s="1674"/>
      <c r="I384" s="1675"/>
      <c r="J384" s="1675"/>
      <c r="K384" s="1675"/>
      <c r="L384" s="1675"/>
      <c r="M384" s="1676"/>
      <c r="N384" s="1676"/>
      <c r="O384" s="1676"/>
      <c r="P384" s="1675"/>
      <c r="Q384" s="1675"/>
      <c r="R384" s="1675"/>
      <c r="S384" s="1675"/>
      <c r="T384" s="1675"/>
      <c r="U384" s="1675"/>
      <c r="V384" s="1675"/>
      <c r="W384" s="1675"/>
      <c r="X384" s="1675"/>
      <c r="Y384" s="1675"/>
      <c r="Z384" s="1675"/>
      <c r="AA384" s="1675"/>
    </row>
    <row r="385" spans="1:27" ht="13.5" customHeight="1" x14ac:dyDescent="0.3">
      <c r="A385" s="1675"/>
      <c r="B385" s="1675"/>
      <c r="C385" s="1678"/>
      <c r="D385" s="1771"/>
      <c r="E385" s="1771"/>
      <c r="F385" s="1771"/>
      <c r="G385" s="1689"/>
      <c r="H385" s="1674"/>
      <c r="I385" s="1675"/>
      <c r="J385" s="1675"/>
      <c r="K385" s="1675"/>
      <c r="L385" s="1675"/>
      <c r="M385" s="1676"/>
      <c r="N385" s="1676"/>
      <c r="O385" s="1676"/>
      <c r="P385" s="1675"/>
      <c r="Q385" s="1675"/>
      <c r="R385" s="1675"/>
      <c r="S385" s="1675"/>
      <c r="T385" s="1675"/>
      <c r="U385" s="1675"/>
      <c r="V385" s="1675"/>
      <c r="W385" s="1675"/>
      <c r="X385" s="1675"/>
      <c r="Y385" s="1675"/>
      <c r="Z385" s="1675"/>
      <c r="AA385" s="1675"/>
    </row>
    <row r="386" spans="1:27" ht="13.5" customHeight="1" x14ac:dyDescent="0.3">
      <c r="A386" s="1675"/>
      <c r="B386" s="1675"/>
      <c r="C386" s="1678"/>
      <c r="D386" s="1771"/>
      <c r="E386" s="1771"/>
      <c r="F386" s="1771"/>
      <c r="G386" s="1689"/>
      <c r="H386" s="1674"/>
      <c r="I386" s="1675"/>
      <c r="J386" s="1675"/>
      <c r="K386" s="1675"/>
      <c r="L386" s="1675"/>
      <c r="M386" s="1676"/>
      <c r="N386" s="1676"/>
      <c r="O386" s="1676"/>
      <c r="P386" s="1675"/>
      <c r="Q386" s="1675"/>
      <c r="R386" s="1675"/>
      <c r="S386" s="1675"/>
      <c r="T386" s="1675"/>
      <c r="U386" s="1675"/>
      <c r="V386" s="1675"/>
      <c r="W386" s="1675"/>
      <c r="X386" s="1675"/>
      <c r="Y386" s="1675"/>
      <c r="Z386" s="1675"/>
      <c r="AA386" s="1675"/>
    </row>
    <row r="387" spans="1:27" ht="13.5" customHeight="1" x14ac:dyDescent="0.3">
      <c r="A387" s="1675"/>
      <c r="B387" s="1675"/>
      <c r="C387" s="1678"/>
      <c r="D387" s="1771"/>
      <c r="E387" s="1771"/>
      <c r="F387" s="1771"/>
      <c r="G387" s="1689"/>
      <c r="H387" s="1674"/>
      <c r="I387" s="1675"/>
      <c r="J387" s="1675"/>
      <c r="K387" s="1675"/>
      <c r="L387" s="1675"/>
      <c r="M387" s="1676"/>
      <c r="N387" s="1676"/>
      <c r="O387" s="1676"/>
      <c r="P387" s="1675"/>
      <c r="Q387" s="1675"/>
      <c r="R387" s="1675"/>
      <c r="S387" s="1675"/>
      <c r="T387" s="1675"/>
      <c r="U387" s="1675"/>
      <c r="V387" s="1675"/>
      <c r="W387" s="1675"/>
      <c r="X387" s="1675"/>
      <c r="Y387" s="1675"/>
      <c r="Z387" s="1675"/>
      <c r="AA387" s="1675"/>
    </row>
    <row r="388" spans="1:27" ht="13.5" customHeight="1" x14ac:dyDescent="0.3">
      <c r="A388" s="1675"/>
      <c r="B388" s="1675"/>
      <c r="C388" s="1678"/>
      <c r="D388" s="1771"/>
      <c r="E388" s="1771"/>
      <c r="F388" s="1771"/>
      <c r="G388" s="1689"/>
      <c r="H388" s="1674"/>
      <c r="I388" s="1675"/>
      <c r="J388" s="1675"/>
      <c r="K388" s="1675"/>
      <c r="L388" s="1675"/>
      <c r="M388" s="1676"/>
      <c r="N388" s="1676"/>
      <c r="O388" s="1676"/>
      <c r="P388" s="1675"/>
      <c r="Q388" s="1675"/>
      <c r="R388" s="1675"/>
      <c r="S388" s="1675"/>
      <c r="T388" s="1675"/>
      <c r="U388" s="1675"/>
      <c r="V388" s="1675"/>
      <c r="W388" s="1675"/>
      <c r="X388" s="1675"/>
      <c r="Y388" s="1675"/>
      <c r="Z388" s="1675"/>
      <c r="AA388" s="1675"/>
    </row>
    <row r="389" spans="1:27" ht="13.5" customHeight="1" x14ac:dyDescent="0.3">
      <c r="A389" s="1675"/>
      <c r="B389" s="1675"/>
      <c r="C389" s="1678"/>
      <c r="D389" s="1771"/>
      <c r="E389" s="1771"/>
      <c r="F389" s="1771"/>
      <c r="G389" s="1689"/>
      <c r="H389" s="1674"/>
      <c r="I389" s="1675"/>
      <c r="J389" s="1675"/>
      <c r="K389" s="1675"/>
      <c r="L389" s="1675"/>
      <c r="M389" s="1676"/>
      <c r="N389" s="1676"/>
      <c r="O389" s="1676"/>
      <c r="P389" s="1675"/>
      <c r="Q389" s="1675"/>
      <c r="R389" s="1675"/>
      <c r="S389" s="1675"/>
      <c r="T389" s="1675"/>
      <c r="U389" s="1675"/>
      <c r="V389" s="1675"/>
      <c r="W389" s="1675"/>
      <c r="X389" s="1675"/>
      <c r="Y389" s="1675"/>
      <c r="Z389" s="1675"/>
      <c r="AA389" s="1675"/>
    </row>
    <row r="390" spans="1:27" ht="13.5" customHeight="1" x14ac:dyDescent="0.3">
      <c r="A390" s="1675"/>
      <c r="B390" s="1675"/>
      <c r="C390" s="1678"/>
      <c r="D390" s="1771"/>
      <c r="E390" s="1771"/>
      <c r="F390" s="1771"/>
      <c r="G390" s="1689"/>
      <c r="H390" s="1674"/>
      <c r="I390" s="1675"/>
      <c r="J390" s="1675"/>
      <c r="K390" s="1675"/>
      <c r="L390" s="1675"/>
      <c r="M390" s="1676"/>
      <c r="N390" s="1676"/>
      <c r="O390" s="1676"/>
      <c r="P390" s="1675"/>
      <c r="Q390" s="1675"/>
      <c r="R390" s="1675"/>
      <c r="S390" s="1675"/>
      <c r="T390" s="1675"/>
      <c r="U390" s="1675"/>
      <c r="V390" s="1675"/>
      <c r="W390" s="1675"/>
      <c r="X390" s="1675"/>
      <c r="Y390" s="1675"/>
      <c r="Z390" s="1675"/>
      <c r="AA390" s="1675"/>
    </row>
    <row r="391" spans="1:27" ht="13.5" customHeight="1" x14ac:dyDescent="0.3">
      <c r="A391" s="1675"/>
      <c r="B391" s="1675"/>
      <c r="C391" s="1678"/>
      <c r="D391" s="1771"/>
      <c r="E391" s="1771"/>
      <c r="F391" s="1771"/>
      <c r="G391" s="1689"/>
      <c r="H391" s="1674"/>
      <c r="I391" s="1675"/>
      <c r="J391" s="1675"/>
      <c r="K391" s="1675"/>
      <c r="L391" s="1675"/>
      <c r="M391" s="1676"/>
      <c r="N391" s="1676"/>
      <c r="O391" s="1676"/>
      <c r="P391" s="1675"/>
      <c r="Q391" s="1675"/>
      <c r="R391" s="1675"/>
      <c r="S391" s="1675"/>
      <c r="T391" s="1675"/>
      <c r="U391" s="1675"/>
      <c r="V391" s="1675"/>
      <c r="W391" s="1675"/>
      <c r="X391" s="1675"/>
      <c r="Y391" s="1675"/>
      <c r="Z391" s="1675"/>
      <c r="AA391" s="1675"/>
    </row>
    <row r="392" spans="1:27" ht="13.5" customHeight="1" x14ac:dyDescent="0.3">
      <c r="A392" s="1675"/>
      <c r="B392" s="1675"/>
      <c r="C392" s="1678"/>
      <c r="D392" s="1771"/>
      <c r="E392" s="1771"/>
      <c r="F392" s="1771"/>
      <c r="G392" s="1689"/>
      <c r="H392" s="1674"/>
      <c r="I392" s="1675"/>
      <c r="J392" s="1675"/>
      <c r="K392" s="1675"/>
      <c r="L392" s="1675"/>
      <c r="M392" s="1676"/>
      <c r="N392" s="1676"/>
      <c r="O392" s="1676"/>
      <c r="P392" s="1675"/>
      <c r="Q392" s="1675"/>
      <c r="R392" s="1675"/>
      <c r="S392" s="1675"/>
      <c r="T392" s="1675"/>
      <c r="U392" s="1675"/>
      <c r="V392" s="1675"/>
      <c r="W392" s="1675"/>
      <c r="X392" s="1675"/>
      <c r="Y392" s="1675"/>
      <c r="Z392" s="1675"/>
      <c r="AA392" s="1675"/>
    </row>
    <row r="393" spans="1:27" ht="13.5" customHeight="1" x14ac:dyDescent="0.3">
      <c r="A393" s="1675"/>
      <c r="B393" s="1675"/>
      <c r="C393" s="1678"/>
      <c r="D393" s="1771"/>
      <c r="E393" s="1771"/>
      <c r="F393" s="1771"/>
      <c r="G393" s="1689"/>
      <c r="H393" s="1674"/>
      <c r="I393" s="1675"/>
      <c r="J393" s="1675"/>
      <c r="K393" s="1675"/>
      <c r="L393" s="1675"/>
      <c r="M393" s="1676"/>
      <c r="N393" s="1676"/>
      <c r="O393" s="1676"/>
      <c r="P393" s="1675"/>
      <c r="Q393" s="1675"/>
      <c r="R393" s="1675"/>
      <c r="S393" s="1675"/>
      <c r="T393" s="1675"/>
      <c r="U393" s="1675"/>
      <c r="V393" s="1675"/>
      <c r="W393" s="1675"/>
      <c r="X393" s="1675"/>
      <c r="Y393" s="1675"/>
      <c r="Z393" s="1675"/>
      <c r="AA393" s="1675"/>
    </row>
    <row r="394" spans="1:27" ht="13.5" customHeight="1" x14ac:dyDescent="0.3">
      <c r="A394" s="1675"/>
      <c r="B394" s="1675"/>
      <c r="C394" s="1678"/>
      <c r="D394" s="1771"/>
      <c r="E394" s="1771"/>
      <c r="F394" s="1771"/>
      <c r="G394" s="1689"/>
      <c r="H394" s="1674"/>
      <c r="I394" s="1675"/>
      <c r="J394" s="1675"/>
      <c r="K394" s="1675"/>
      <c r="L394" s="1675"/>
      <c r="M394" s="1676"/>
      <c r="N394" s="1676"/>
      <c r="O394" s="1676"/>
      <c r="P394" s="1675"/>
      <c r="Q394" s="1675"/>
      <c r="R394" s="1675"/>
      <c r="S394" s="1675"/>
      <c r="T394" s="1675"/>
      <c r="U394" s="1675"/>
      <c r="V394" s="1675"/>
      <c r="W394" s="1675"/>
      <c r="X394" s="1675"/>
      <c r="Y394" s="1675"/>
      <c r="Z394" s="1675"/>
      <c r="AA394" s="1675"/>
    </row>
    <row r="395" spans="1:27" ht="13.5" customHeight="1" x14ac:dyDescent="0.3">
      <c r="A395" s="1675"/>
      <c r="B395" s="1675"/>
      <c r="C395" s="1678"/>
      <c r="D395" s="1771"/>
      <c r="E395" s="1771"/>
      <c r="F395" s="1771"/>
      <c r="G395" s="1689"/>
      <c r="H395" s="1674"/>
      <c r="I395" s="1675"/>
      <c r="J395" s="1675"/>
      <c r="K395" s="1675"/>
      <c r="L395" s="1675"/>
      <c r="M395" s="1676"/>
      <c r="N395" s="1676"/>
      <c r="O395" s="1676"/>
      <c r="P395" s="1675"/>
      <c r="Q395" s="1675"/>
      <c r="R395" s="1675"/>
      <c r="S395" s="1675"/>
      <c r="T395" s="1675"/>
      <c r="U395" s="1675"/>
      <c r="V395" s="1675"/>
      <c r="W395" s="1675"/>
      <c r="X395" s="1675"/>
      <c r="Y395" s="1675"/>
      <c r="Z395" s="1675"/>
      <c r="AA395" s="1675"/>
    </row>
    <row r="396" spans="1:27" ht="13.5" customHeight="1" x14ac:dyDescent="0.3">
      <c r="A396" s="1675"/>
      <c r="B396" s="1675"/>
      <c r="C396" s="1678"/>
      <c r="D396" s="1771"/>
      <c r="E396" s="1771"/>
      <c r="F396" s="1771"/>
      <c r="G396" s="1689"/>
      <c r="H396" s="1674"/>
      <c r="I396" s="1675"/>
      <c r="J396" s="1675"/>
      <c r="K396" s="1675"/>
      <c r="L396" s="1675"/>
      <c r="M396" s="1676"/>
      <c r="N396" s="1676"/>
      <c r="O396" s="1676"/>
      <c r="P396" s="1675"/>
      <c r="Q396" s="1675"/>
      <c r="R396" s="1675"/>
      <c r="S396" s="1675"/>
      <c r="T396" s="1675"/>
      <c r="U396" s="1675"/>
      <c r="V396" s="1675"/>
      <c r="W396" s="1675"/>
      <c r="X396" s="1675"/>
      <c r="Y396" s="1675"/>
      <c r="Z396" s="1675"/>
      <c r="AA396" s="1675"/>
    </row>
    <row r="397" spans="1:27" ht="13.5" customHeight="1" x14ac:dyDescent="0.3">
      <c r="A397" s="1675"/>
      <c r="B397" s="1675"/>
      <c r="C397" s="1678"/>
      <c r="D397" s="1771"/>
      <c r="E397" s="1771"/>
      <c r="F397" s="1771"/>
      <c r="G397" s="1689"/>
      <c r="H397" s="1674"/>
      <c r="I397" s="1675"/>
      <c r="J397" s="1675"/>
      <c r="K397" s="1675"/>
      <c r="L397" s="1675"/>
      <c r="M397" s="1676"/>
      <c r="N397" s="1676"/>
      <c r="O397" s="1676"/>
      <c r="P397" s="1675"/>
      <c r="Q397" s="1675"/>
      <c r="R397" s="1675"/>
      <c r="S397" s="1675"/>
      <c r="T397" s="1675"/>
      <c r="U397" s="1675"/>
      <c r="V397" s="1675"/>
      <c r="W397" s="1675"/>
      <c r="X397" s="1675"/>
      <c r="Y397" s="1675"/>
      <c r="Z397" s="1675"/>
      <c r="AA397" s="1675"/>
    </row>
    <row r="398" spans="1:27" ht="13.5" customHeight="1" x14ac:dyDescent="0.3">
      <c r="A398" s="1675"/>
      <c r="B398" s="1675"/>
      <c r="C398" s="1678"/>
      <c r="D398" s="1771"/>
      <c r="E398" s="1771"/>
      <c r="F398" s="1771"/>
      <c r="G398" s="1689"/>
      <c r="H398" s="1674"/>
      <c r="I398" s="1675"/>
      <c r="J398" s="1675"/>
      <c r="K398" s="1675"/>
      <c r="L398" s="1675"/>
      <c r="M398" s="1676"/>
      <c r="N398" s="1676"/>
      <c r="O398" s="1676"/>
      <c r="P398" s="1675"/>
      <c r="Q398" s="1675"/>
      <c r="R398" s="1675"/>
      <c r="S398" s="1675"/>
      <c r="T398" s="1675"/>
      <c r="U398" s="1675"/>
      <c r="V398" s="1675"/>
      <c r="W398" s="1675"/>
      <c r="X398" s="1675"/>
      <c r="Y398" s="1675"/>
      <c r="Z398" s="1675"/>
      <c r="AA398" s="1675"/>
    </row>
    <row r="399" spans="1:27" ht="13.5" customHeight="1" x14ac:dyDescent="0.3">
      <c r="A399" s="1675"/>
      <c r="B399" s="1675"/>
      <c r="C399" s="1678"/>
      <c r="D399" s="1771"/>
      <c r="E399" s="1771"/>
      <c r="F399" s="1771"/>
      <c r="G399" s="1689"/>
      <c r="H399" s="1674"/>
      <c r="I399" s="1675"/>
      <c r="J399" s="1675"/>
      <c r="K399" s="1675"/>
      <c r="L399" s="1675"/>
      <c r="M399" s="1676"/>
      <c r="N399" s="1676"/>
      <c r="O399" s="1676"/>
      <c r="P399" s="1675"/>
      <c r="Q399" s="1675"/>
      <c r="R399" s="1675"/>
      <c r="S399" s="1675"/>
      <c r="T399" s="1675"/>
      <c r="U399" s="1675"/>
      <c r="V399" s="1675"/>
      <c r="W399" s="1675"/>
      <c r="X399" s="1675"/>
      <c r="Y399" s="1675"/>
      <c r="Z399" s="1675"/>
      <c r="AA399" s="1675"/>
    </row>
    <row r="400" spans="1:27" ht="13.5" customHeight="1" x14ac:dyDescent="0.3">
      <c r="A400" s="1675"/>
      <c r="B400" s="1675"/>
      <c r="C400" s="1678"/>
      <c r="D400" s="1771"/>
      <c r="E400" s="1771"/>
      <c r="F400" s="1771"/>
      <c r="G400" s="1689"/>
      <c r="H400" s="1674"/>
      <c r="I400" s="1675"/>
      <c r="J400" s="1675"/>
      <c r="K400" s="1675"/>
      <c r="L400" s="1675"/>
      <c r="M400" s="1676"/>
      <c r="N400" s="1676"/>
      <c r="O400" s="1676"/>
      <c r="P400" s="1675"/>
      <c r="Q400" s="1675"/>
      <c r="R400" s="1675"/>
      <c r="S400" s="1675"/>
      <c r="T400" s="1675"/>
      <c r="U400" s="1675"/>
      <c r="V400" s="1675"/>
      <c r="W400" s="1675"/>
      <c r="X400" s="1675"/>
      <c r="Y400" s="1675"/>
      <c r="Z400" s="1675"/>
      <c r="AA400" s="1675"/>
    </row>
    <row r="401" spans="1:27" ht="13.5" customHeight="1" x14ac:dyDescent="0.3">
      <c r="A401" s="1675"/>
      <c r="B401" s="1675"/>
      <c r="C401" s="1678"/>
      <c r="D401" s="1771"/>
      <c r="E401" s="1771"/>
      <c r="F401" s="1771"/>
      <c r="G401" s="1689"/>
      <c r="H401" s="1674"/>
      <c r="I401" s="1675"/>
      <c r="J401" s="1675"/>
      <c r="K401" s="1675"/>
      <c r="L401" s="1675"/>
      <c r="M401" s="1676"/>
      <c r="N401" s="1676"/>
      <c r="O401" s="1676"/>
      <c r="P401" s="1675"/>
      <c r="Q401" s="1675"/>
      <c r="R401" s="1675"/>
      <c r="S401" s="1675"/>
      <c r="T401" s="1675"/>
      <c r="U401" s="1675"/>
      <c r="V401" s="1675"/>
      <c r="W401" s="1675"/>
      <c r="X401" s="1675"/>
      <c r="Y401" s="1675"/>
      <c r="Z401" s="1675"/>
      <c r="AA401" s="1675"/>
    </row>
    <row r="402" spans="1:27" ht="13.5" customHeight="1" x14ac:dyDescent="0.3">
      <c r="A402" s="1675"/>
      <c r="B402" s="1675"/>
      <c r="C402" s="1678"/>
      <c r="D402" s="1771"/>
      <c r="E402" s="1771"/>
      <c r="F402" s="1771"/>
      <c r="G402" s="1689"/>
      <c r="H402" s="1674"/>
      <c r="I402" s="1675"/>
      <c r="J402" s="1675"/>
      <c r="K402" s="1675"/>
      <c r="L402" s="1675"/>
      <c r="M402" s="1676"/>
      <c r="N402" s="1676"/>
      <c r="O402" s="1676"/>
      <c r="P402" s="1675"/>
      <c r="Q402" s="1675"/>
      <c r="R402" s="1675"/>
      <c r="S402" s="1675"/>
      <c r="T402" s="1675"/>
      <c r="U402" s="1675"/>
      <c r="V402" s="1675"/>
      <c r="W402" s="1675"/>
      <c r="X402" s="1675"/>
      <c r="Y402" s="1675"/>
      <c r="Z402" s="1675"/>
      <c r="AA402" s="1675"/>
    </row>
    <row r="403" spans="1:27" ht="13.5" customHeight="1" x14ac:dyDescent="0.3">
      <c r="A403" s="1675"/>
      <c r="B403" s="1675"/>
      <c r="C403" s="1678"/>
      <c r="D403" s="1771"/>
      <c r="E403" s="1771"/>
      <c r="F403" s="1771"/>
      <c r="G403" s="1689"/>
      <c r="H403" s="1674"/>
      <c r="I403" s="1675"/>
      <c r="J403" s="1675"/>
      <c r="K403" s="1675"/>
      <c r="L403" s="1675"/>
      <c r="M403" s="1676"/>
      <c r="N403" s="1676"/>
      <c r="O403" s="1676"/>
      <c r="P403" s="1675"/>
      <c r="Q403" s="1675"/>
      <c r="R403" s="1675"/>
      <c r="S403" s="1675"/>
      <c r="T403" s="1675"/>
      <c r="U403" s="1675"/>
      <c r="V403" s="1675"/>
      <c r="W403" s="1675"/>
      <c r="X403" s="1675"/>
      <c r="Y403" s="1675"/>
      <c r="Z403" s="1675"/>
      <c r="AA403" s="1675"/>
    </row>
    <row r="404" spans="1:27" ht="13.5" customHeight="1" x14ac:dyDescent="0.3">
      <c r="A404" s="1675"/>
      <c r="B404" s="1675"/>
      <c r="C404" s="1678"/>
      <c r="D404" s="1771"/>
      <c r="E404" s="1771"/>
      <c r="F404" s="1771"/>
      <c r="G404" s="1689"/>
      <c r="H404" s="1674"/>
      <c r="I404" s="1675"/>
      <c r="J404" s="1675"/>
      <c r="K404" s="1675"/>
      <c r="L404" s="1675"/>
      <c r="M404" s="1676"/>
      <c r="N404" s="1676"/>
      <c r="O404" s="1676"/>
      <c r="P404" s="1675"/>
      <c r="Q404" s="1675"/>
      <c r="R404" s="1675"/>
      <c r="S404" s="1675"/>
      <c r="T404" s="1675"/>
      <c r="U404" s="1675"/>
      <c r="V404" s="1675"/>
      <c r="W404" s="1675"/>
      <c r="X404" s="1675"/>
      <c r="Y404" s="1675"/>
      <c r="Z404" s="1675"/>
      <c r="AA404" s="1675"/>
    </row>
    <row r="405" spans="1:27" ht="13.5" customHeight="1" x14ac:dyDescent="0.3">
      <c r="A405" s="1675"/>
      <c r="B405" s="1675"/>
      <c r="C405" s="1678"/>
      <c r="D405" s="1771"/>
      <c r="E405" s="1771"/>
      <c r="F405" s="1771"/>
      <c r="G405" s="1689"/>
      <c r="H405" s="1674"/>
      <c r="I405" s="1675"/>
      <c r="J405" s="1675"/>
      <c r="K405" s="1675"/>
      <c r="L405" s="1675"/>
      <c r="M405" s="1676"/>
      <c r="N405" s="1676"/>
      <c r="O405" s="1676"/>
      <c r="P405" s="1675"/>
      <c r="Q405" s="1675"/>
      <c r="R405" s="1675"/>
      <c r="S405" s="1675"/>
      <c r="T405" s="1675"/>
      <c r="U405" s="1675"/>
      <c r="V405" s="1675"/>
      <c r="W405" s="1675"/>
      <c r="X405" s="1675"/>
      <c r="Y405" s="1675"/>
      <c r="Z405" s="1675"/>
      <c r="AA405" s="1675"/>
    </row>
    <row r="406" spans="1:27" ht="13.5" customHeight="1" x14ac:dyDescent="0.3">
      <c r="A406" s="1675"/>
      <c r="B406" s="1675"/>
      <c r="C406" s="1678"/>
      <c r="D406" s="1771"/>
      <c r="E406" s="1771"/>
      <c r="F406" s="1771"/>
      <c r="G406" s="1689"/>
      <c r="H406" s="1674"/>
      <c r="I406" s="1675"/>
      <c r="J406" s="1675"/>
      <c r="K406" s="1675"/>
      <c r="L406" s="1675"/>
      <c r="M406" s="1676"/>
      <c r="N406" s="1676"/>
      <c r="O406" s="1676"/>
      <c r="P406" s="1675"/>
      <c r="Q406" s="1675"/>
      <c r="R406" s="1675"/>
      <c r="S406" s="1675"/>
      <c r="T406" s="1675"/>
      <c r="U406" s="1675"/>
      <c r="V406" s="1675"/>
      <c r="W406" s="1675"/>
      <c r="X406" s="1675"/>
      <c r="Y406" s="1675"/>
      <c r="Z406" s="1675"/>
      <c r="AA406" s="1675"/>
    </row>
    <row r="407" spans="1:27" ht="13.5" customHeight="1" x14ac:dyDescent="0.3">
      <c r="A407" s="1675"/>
      <c r="B407" s="1675"/>
      <c r="C407" s="1678"/>
      <c r="D407" s="1771"/>
      <c r="E407" s="1771"/>
      <c r="F407" s="1771"/>
      <c r="G407" s="1689"/>
      <c r="H407" s="1674"/>
      <c r="I407" s="1675"/>
      <c r="J407" s="1675"/>
      <c r="K407" s="1675"/>
      <c r="L407" s="1675"/>
      <c r="M407" s="1676"/>
      <c r="N407" s="1676"/>
      <c r="O407" s="1676"/>
      <c r="P407" s="1675"/>
      <c r="Q407" s="1675"/>
      <c r="R407" s="1675"/>
      <c r="S407" s="1675"/>
      <c r="T407" s="1675"/>
      <c r="U407" s="1675"/>
      <c r="V407" s="1675"/>
      <c r="W407" s="1675"/>
      <c r="X407" s="1675"/>
      <c r="Y407" s="1675"/>
      <c r="Z407" s="1675"/>
      <c r="AA407" s="1675"/>
    </row>
    <row r="408" spans="1:27" ht="13.5" customHeight="1" x14ac:dyDescent="0.3">
      <c r="A408" s="1675"/>
      <c r="B408" s="1675"/>
      <c r="C408" s="1678"/>
      <c r="D408" s="1771"/>
      <c r="E408" s="1771"/>
      <c r="F408" s="1771"/>
      <c r="G408" s="1689"/>
      <c r="H408" s="1674"/>
      <c r="I408" s="1675"/>
      <c r="J408" s="1675"/>
      <c r="K408" s="1675"/>
      <c r="L408" s="1675"/>
      <c r="M408" s="1676"/>
      <c r="N408" s="1676"/>
      <c r="O408" s="1676"/>
      <c r="P408" s="1675"/>
      <c r="Q408" s="1675"/>
      <c r="R408" s="1675"/>
      <c r="S408" s="1675"/>
      <c r="T408" s="1675"/>
      <c r="U408" s="1675"/>
      <c r="V408" s="1675"/>
      <c r="W408" s="1675"/>
      <c r="X408" s="1675"/>
      <c r="Y408" s="1675"/>
      <c r="Z408" s="1675"/>
      <c r="AA408" s="1675"/>
    </row>
    <row r="409" spans="1:27" ht="13.5" customHeight="1" x14ac:dyDescent="0.3">
      <c r="A409" s="1675"/>
      <c r="B409" s="1675"/>
      <c r="C409" s="1678"/>
      <c r="D409" s="1771"/>
      <c r="E409" s="1771"/>
      <c r="F409" s="1771"/>
      <c r="G409" s="1689"/>
      <c r="H409" s="1674"/>
      <c r="I409" s="1675"/>
      <c r="J409" s="1675"/>
      <c r="K409" s="1675"/>
      <c r="L409" s="1675"/>
      <c r="M409" s="1676"/>
      <c r="N409" s="1676"/>
      <c r="O409" s="1676"/>
      <c r="P409" s="1675"/>
      <c r="Q409" s="1675"/>
      <c r="R409" s="1675"/>
      <c r="S409" s="1675"/>
      <c r="T409" s="1675"/>
      <c r="U409" s="1675"/>
      <c r="V409" s="1675"/>
      <c r="W409" s="1675"/>
      <c r="X409" s="1675"/>
      <c r="Y409" s="1675"/>
      <c r="Z409" s="1675"/>
      <c r="AA409" s="1675"/>
    </row>
    <row r="410" spans="1:27" ht="13.5" customHeight="1" x14ac:dyDescent="0.3">
      <c r="A410" s="1675"/>
      <c r="B410" s="1675"/>
      <c r="C410" s="1678"/>
      <c r="D410" s="1771"/>
      <c r="E410" s="1771"/>
      <c r="F410" s="1771"/>
      <c r="G410" s="1689"/>
      <c r="H410" s="1674"/>
      <c r="I410" s="1675"/>
      <c r="J410" s="1675"/>
      <c r="K410" s="1675"/>
      <c r="L410" s="1675"/>
      <c r="M410" s="1676"/>
      <c r="N410" s="1676"/>
      <c r="O410" s="1676"/>
      <c r="P410" s="1675"/>
      <c r="Q410" s="1675"/>
      <c r="R410" s="1675"/>
      <c r="S410" s="1675"/>
      <c r="T410" s="1675"/>
      <c r="U410" s="1675"/>
      <c r="V410" s="1675"/>
      <c r="W410" s="1675"/>
      <c r="X410" s="1675"/>
      <c r="Y410" s="1675"/>
      <c r="Z410" s="1675"/>
      <c r="AA410" s="1675"/>
    </row>
    <row r="411" spans="1:27" ht="13.5" customHeight="1" x14ac:dyDescent="0.3">
      <c r="A411" s="1675"/>
      <c r="B411" s="1675"/>
      <c r="C411" s="1678"/>
      <c r="D411" s="1771"/>
      <c r="E411" s="1771"/>
      <c r="F411" s="1771"/>
      <c r="G411" s="1689"/>
      <c r="H411" s="1674"/>
      <c r="I411" s="1675"/>
      <c r="J411" s="1675"/>
      <c r="K411" s="1675"/>
      <c r="L411" s="1675"/>
      <c r="M411" s="1676"/>
      <c r="N411" s="1676"/>
      <c r="O411" s="1676"/>
      <c r="P411" s="1675"/>
      <c r="Q411" s="1675"/>
      <c r="R411" s="1675"/>
      <c r="S411" s="1675"/>
      <c r="T411" s="1675"/>
      <c r="U411" s="1675"/>
      <c r="V411" s="1675"/>
      <c r="W411" s="1675"/>
      <c r="X411" s="1675"/>
      <c r="Y411" s="1675"/>
      <c r="Z411" s="1675"/>
      <c r="AA411" s="1675"/>
    </row>
    <row r="412" spans="1:27" ht="13.5" customHeight="1" x14ac:dyDescent="0.3">
      <c r="A412" s="1675"/>
      <c r="B412" s="1675"/>
      <c r="C412" s="1678"/>
      <c r="D412" s="1771"/>
      <c r="E412" s="1771"/>
      <c r="F412" s="1771"/>
      <c r="G412" s="1689"/>
      <c r="H412" s="1674"/>
      <c r="I412" s="1675"/>
      <c r="J412" s="1675"/>
      <c r="K412" s="1675"/>
      <c r="L412" s="1675"/>
      <c r="M412" s="1676"/>
      <c r="N412" s="1676"/>
      <c r="O412" s="1676"/>
      <c r="P412" s="1675"/>
      <c r="Q412" s="1675"/>
      <c r="R412" s="1675"/>
      <c r="S412" s="1675"/>
      <c r="T412" s="1675"/>
      <c r="U412" s="1675"/>
      <c r="V412" s="1675"/>
      <c r="W412" s="1675"/>
      <c r="X412" s="1675"/>
      <c r="Y412" s="1675"/>
      <c r="Z412" s="1675"/>
      <c r="AA412" s="1675"/>
    </row>
    <row r="413" spans="1:27" ht="13.5" customHeight="1" x14ac:dyDescent="0.3">
      <c r="A413" s="1675"/>
      <c r="B413" s="1675"/>
      <c r="C413" s="1678"/>
      <c r="D413" s="1771"/>
      <c r="E413" s="1771"/>
      <c r="F413" s="1771"/>
      <c r="G413" s="1689"/>
      <c r="H413" s="1674"/>
      <c r="I413" s="1675"/>
      <c r="J413" s="1675"/>
      <c r="K413" s="1675"/>
      <c r="L413" s="1675"/>
      <c r="M413" s="1676"/>
      <c r="N413" s="1676"/>
      <c r="O413" s="1676"/>
      <c r="P413" s="1675"/>
      <c r="Q413" s="1675"/>
      <c r="R413" s="1675"/>
      <c r="S413" s="1675"/>
      <c r="T413" s="1675"/>
      <c r="U413" s="1675"/>
      <c r="V413" s="1675"/>
      <c r="W413" s="1675"/>
      <c r="X413" s="1675"/>
      <c r="Y413" s="1675"/>
      <c r="Z413" s="1675"/>
      <c r="AA413" s="1675"/>
    </row>
    <row r="414" spans="1:27" ht="13.5" customHeight="1" x14ac:dyDescent="0.3">
      <c r="A414" s="1675"/>
      <c r="B414" s="1675"/>
      <c r="C414" s="1678"/>
      <c r="D414" s="1771"/>
      <c r="E414" s="1771"/>
      <c r="F414" s="1771"/>
      <c r="G414" s="1689"/>
      <c r="H414" s="1674"/>
      <c r="I414" s="1675"/>
      <c r="J414" s="1675"/>
      <c r="K414" s="1675"/>
      <c r="L414" s="1675"/>
      <c r="M414" s="1676"/>
      <c r="N414" s="1676"/>
      <c r="O414" s="1676"/>
      <c r="P414" s="1675"/>
      <c r="Q414" s="1675"/>
      <c r="R414" s="1675"/>
      <c r="S414" s="1675"/>
      <c r="T414" s="1675"/>
      <c r="U414" s="1675"/>
      <c r="V414" s="1675"/>
      <c r="W414" s="1675"/>
      <c r="X414" s="1675"/>
      <c r="Y414" s="1675"/>
      <c r="Z414" s="1675"/>
      <c r="AA414" s="1675"/>
    </row>
    <row r="415" spans="1:27" ht="13.5" customHeight="1" x14ac:dyDescent="0.3">
      <c r="A415" s="1675"/>
      <c r="B415" s="1675"/>
      <c r="C415" s="1678"/>
      <c r="D415" s="1771"/>
      <c r="E415" s="1771"/>
      <c r="F415" s="1771"/>
      <c r="G415" s="1689"/>
      <c r="H415" s="1674"/>
      <c r="I415" s="1675"/>
      <c r="J415" s="1675"/>
      <c r="K415" s="1675"/>
      <c r="L415" s="1675"/>
      <c r="M415" s="1676"/>
      <c r="N415" s="1676"/>
      <c r="O415" s="1676"/>
      <c r="P415" s="1675"/>
      <c r="Q415" s="1675"/>
      <c r="R415" s="1675"/>
      <c r="S415" s="1675"/>
      <c r="T415" s="1675"/>
      <c r="U415" s="1675"/>
      <c r="V415" s="1675"/>
      <c r="W415" s="1675"/>
      <c r="X415" s="1675"/>
      <c r="Y415" s="1675"/>
      <c r="Z415" s="1675"/>
      <c r="AA415" s="1675"/>
    </row>
    <row r="416" spans="1:27" ht="13.5" customHeight="1" x14ac:dyDescent="0.3">
      <c r="A416" s="1675"/>
      <c r="B416" s="1675"/>
      <c r="C416" s="1678"/>
      <c r="D416" s="1771"/>
      <c r="E416" s="1771"/>
      <c r="F416" s="1771"/>
      <c r="G416" s="1689"/>
      <c r="H416" s="1674"/>
      <c r="I416" s="1675"/>
      <c r="J416" s="1675"/>
      <c r="K416" s="1675"/>
      <c r="L416" s="1675"/>
      <c r="M416" s="1676"/>
      <c r="N416" s="1676"/>
      <c r="O416" s="1676"/>
      <c r="P416" s="1675"/>
      <c r="Q416" s="1675"/>
      <c r="R416" s="1675"/>
      <c r="S416" s="1675"/>
      <c r="T416" s="1675"/>
      <c r="U416" s="1675"/>
      <c r="V416" s="1675"/>
      <c r="W416" s="1675"/>
      <c r="X416" s="1675"/>
      <c r="Y416" s="1675"/>
      <c r="Z416" s="1675"/>
      <c r="AA416" s="1675"/>
    </row>
    <row r="417" spans="1:27" ht="13.5" customHeight="1" x14ac:dyDescent="0.3">
      <c r="A417" s="1675"/>
      <c r="B417" s="1675"/>
      <c r="C417" s="1678"/>
      <c r="D417" s="1771"/>
      <c r="E417" s="1771"/>
      <c r="F417" s="1771"/>
      <c r="G417" s="1689"/>
      <c r="H417" s="1674"/>
      <c r="I417" s="1675"/>
      <c r="J417" s="1675"/>
      <c r="K417" s="1675"/>
      <c r="L417" s="1675"/>
      <c r="M417" s="1676"/>
      <c r="N417" s="1676"/>
      <c r="O417" s="1676"/>
      <c r="P417" s="1675"/>
      <c r="Q417" s="1675"/>
      <c r="R417" s="1675"/>
      <c r="S417" s="1675"/>
      <c r="T417" s="1675"/>
      <c r="U417" s="1675"/>
      <c r="V417" s="1675"/>
      <c r="W417" s="1675"/>
      <c r="X417" s="1675"/>
      <c r="Y417" s="1675"/>
      <c r="Z417" s="1675"/>
      <c r="AA417" s="1675"/>
    </row>
    <row r="418" spans="1:27" ht="13.5" customHeight="1" x14ac:dyDescent="0.3">
      <c r="A418" s="1675"/>
      <c r="B418" s="1675"/>
      <c r="C418" s="1678"/>
      <c r="D418" s="1771"/>
      <c r="E418" s="1771"/>
      <c r="F418" s="1771"/>
      <c r="G418" s="1689"/>
      <c r="H418" s="1674"/>
      <c r="I418" s="1675"/>
      <c r="J418" s="1675"/>
      <c r="K418" s="1675"/>
      <c r="L418" s="1675"/>
      <c r="M418" s="1676"/>
      <c r="N418" s="1676"/>
      <c r="O418" s="1676"/>
      <c r="P418" s="1675"/>
      <c r="Q418" s="1675"/>
      <c r="R418" s="1675"/>
      <c r="S418" s="1675"/>
      <c r="T418" s="1675"/>
      <c r="U418" s="1675"/>
      <c r="V418" s="1675"/>
      <c r="W418" s="1675"/>
      <c r="X418" s="1675"/>
      <c r="Y418" s="1675"/>
      <c r="Z418" s="1675"/>
      <c r="AA418" s="1675"/>
    </row>
    <row r="419" spans="1:27" ht="13.5" customHeight="1" x14ac:dyDescent="0.3">
      <c r="A419" s="1675"/>
      <c r="B419" s="1675"/>
      <c r="C419" s="1678"/>
      <c r="D419" s="1771"/>
      <c r="E419" s="1771"/>
      <c r="F419" s="1771"/>
      <c r="G419" s="1689"/>
      <c r="H419" s="1674"/>
      <c r="I419" s="1675"/>
      <c r="J419" s="1675"/>
      <c r="K419" s="1675"/>
      <c r="L419" s="1675"/>
      <c r="M419" s="1676"/>
      <c r="N419" s="1676"/>
      <c r="O419" s="1676"/>
      <c r="P419" s="1675"/>
      <c r="Q419" s="1675"/>
      <c r="R419" s="1675"/>
      <c r="S419" s="1675"/>
      <c r="T419" s="1675"/>
      <c r="U419" s="1675"/>
      <c r="V419" s="1675"/>
      <c r="W419" s="1675"/>
      <c r="X419" s="1675"/>
      <c r="Y419" s="1675"/>
      <c r="Z419" s="1675"/>
      <c r="AA419" s="1675"/>
    </row>
    <row r="420" spans="1:27" ht="13.5" customHeight="1" x14ac:dyDescent="0.3">
      <c r="A420" s="1675"/>
      <c r="B420" s="1675"/>
      <c r="C420" s="1678"/>
      <c r="D420" s="1771"/>
      <c r="E420" s="1771"/>
      <c r="F420" s="1771"/>
      <c r="G420" s="1689"/>
      <c r="H420" s="1674"/>
      <c r="I420" s="1675"/>
      <c r="J420" s="1675"/>
      <c r="K420" s="1675"/>
      <c r="L420" s="1675"/>
      <c r="M420" s="1676"/>
      <c r="N420" s="1676"/>
      <c r="O420" s="1676"/>
      <c r="P420" s="1675"/>
      <c r="Q420" s="1675"/>
      <c r="R420" s="1675"/>
      <c r="S420" s="1675"/>
      <c r="T420" s="1675"/>
      <c r="U420" s="1675"/>
      <c r="V420" s="1675"/>
      <c r="W420" s="1675"/>
      <c r="X420" s="1675"/>
      <c r="Y420" s="1675"/>
      <c r="Z420" s="1675"/>
      <c r="AA420" s="1675"/>
    </row>
    <row r="421" spans="1:27" ht="13.5" customHeight="1" x14ac:dyDescent="0.3">
      <c r="A421" s="1675"/>
      <c r="B421" s="1675"/>
      <c r="C421" s="1678"/>
      <c r="D421" s="1771"/>
      <c r="E421" s="1771"/>
      <c r="F421" s="1771"/>
      <c r="G421" s="1689"/>
      <c r="H421" s="1674"/>
      <c r="I421" s="1675"/>
      <c r="J421" s="1675"/>
      <c r="K421" s="1675"/>
      <c r="L421" s="1675"/>
      <c r="M421" s="1676"/>
      <c r="N421" s="1676"/>
      <c r="O421" s="1676"/>
      <c r="P421" s="1675"/>
      <c r="Q421" s="1675"/>
      <c r="R421" s="1675"/>
      <c r="S421" s="1675"/>
      <c r="T421" s="1675"/>
      <c r="U421" s="1675"/>
      <c r="V421" s="1675"/>
      <c r="W421" s="1675"/>
      <c r="X421" s="1675"/>
      <c r="Y421" s="1675"/>
      <c r="Z421" s="1675"/>
      <c r="AA421" s="1675"/>
    </row>
    <row r="422" spans="1:27" ht="13.5" customHeight="1" x14ac:dyDescent="0.3">
      <c r="A422" s="1675"/>
      <c r="B422" s="1675"/>
      <c r="C422" s="1678"/>
      <c r="D422" s="1771"/>
      <c r="E422" s="1771"/>
      <c r="F422" s="1771"/>
      <c r="G422" s="1689"/>
      <c r="H422" s="1674"/>
      <c r="I422" s="1675"/>
      <c r="J422" s="1675"/>
      <c r="K422" s="1675"/>
      <c r="L422" s="1675"/>
      <c r="M422" s="1676"/>
      <c r="N422" s="1676"/>
      <c r="O422" s="1676"/>
      <c r="P422" s="1675"/>
      <c r="Q422" s="1675"/>
      <c r="R422" s="1675"/>
      <c r="S422" s="1675"/>
      <c r="T422" s="1675"/>
      <c r="U422" s="1675"/>
      <c r="V422" s="1675"/>
      <c r="W422" s="1675"/>
      <c r="X422" s="1675"/>
      <c r="Y422" s="1675"/>
      <c r="Z422" s="1675"/>
      <c r="AA422" s="1675"/>
    </row>
    <row r="423" spans="1:27" ht="13.5" customHeight="1" x14ac:dyDescent="0.3">
      <c r="A423" s="1675"/>
      <c r="B423" s="1675"/>
      <c r="C423" s="1678"/>
      <c r="D423" s="1771"/>
      <c r="E423" s="1771"/>
      <c r="F423" s="1771"/>
      <c r="G423" s="1689"/>
      <c r="H423" s="1674"/>
      <c r="I423" s="1675"/>
      <c r="J423" s="1675"/>
      <c r="K423" s="1675"/>
      <c r="L423" s="1675"/>
      <c r="M423" s="1676"/>
      <c r="N423" s="1676"/>
      <c r="O423" s="1676"/>
      <c r="P423" s="1675"/>
      <c r="Q423" s="1675"/>
      <c r="R423" s="1675"/>
      <c r="S423" s="1675"/>
      <c r="T423" s="1675"/>
      <c r="U423" s="1675"/>
      <c r="V423" s="1675"/>
      <c r="W423" s="1675"/>
      <c r="X423" s="1675"/>
      <c r="Y423" s="1675"/>
      <c r="Z423" s="1675"/>
      <c r="AA423" s="1675"/>
    </row>
    <row r="424" spans="1:27" ht="13.5" customHeight="1" x14ac:dyDescent="0.3">
      <c r="A424" s="1675"/>
      <c r="B424" s="1675"/>
      <c r="C424" s="1678"/>
      <c r="D424" s="1771"/>
      <c r="E424" s="1771"/>
      <c r="F424" s="1771"/>
      <c r="G424" s="1689"/>
      <c r="H424" s="1674"/>
      <c r="I424" s="1675"/>
      <c r="J424" s="1675"/>
      <c r="K424" s="1675"/>
      <c r="L424" s="1675"/>
      <c r="M424" s="1676"/>
      <c r="N424" s="1676"/>
      <c r="O424" s="1676"/>
      <c r="P424" s="1675"/>
      <c r="Q424" s="1675"/>
      <c r="R424" s="1675"/>
      <c r="S424" s="1675"/>
      <c r="T424" s="1675"/>
      <c r="U424" s="1675"/>
      <c r="V424" s="1675"/>
      <c r="W424" s="1675"/>
      <c r="X424" s="1675"/>
      <c r="Y424" s="1675"/>
      <c r="Z424" s="1675"/>
      <c r="AA424" s="1675"/>
    </row>
    <row r="425" spans="1:27" ht="13.5" customHeight="1" x14ac:dyDescent="0.3">
      <c r="A425" s="1675"/>
      <c r="B425" s="1675"/>
      <c r="C425" s="1678"/>
      <c r="D425" s="1771"/>
      <c r="E425" s="1771"/>
      <c r="F425" s="1771"/>
      <c r="G425" s="1689"/>
      <c r="H425" s="1674"/>
      <c r="I425" s="1675"/>
      <c r="J425" s="1675"/>
      <c r="K425" s="1675"/>
      <c r="L425" s="1675"/>
      <c r="M425" s="1676"/>
      <c r="N425" s="1676"/>
      <c r="O425" s="1676"/>
      <c r="P425" s="1675"/>
      <c r="Q425" s="1675"/>
      <c r="R425" s="1675"/>
      <c r="S425" s="1675"/>
      <c r="T425" s="1675"/>
      <c r="U425" s="1675"/>
      <c r="V425" s="1675"/>
      <c r="W425" s="1675"/>
      <c r="X425" s="1675"/>
      <c r="Y425" s="1675"/>
      <c r="Z425" s="1675"/>
      <c r="AA425" s="1675"/>
    </row>
    <row r="426" spans="1:27" ht="13.5" customHeight="1" x14ac:dyDescent="0.3">
      <c r="A426" s="1675"/>
      <c r="B426" s="1675"/>
      <c r="C426" s="1678"/>
      <c r="D426" s="1771"/>
      <c r="E426" s="1771"/>
      <c r="F426" s="1771"/>
      <c r="G426" s="1689"/>
      <c r="H426" s="1674"/>
      <c r="I426" s="1675"/>
      <c r="J426" s="1675"/>
      <c r="K426" s="1675"/>
      <c r="L426" s="1675"/>
      <c r="M426" s="1676"/>
      <c r="N426" s="1676"/>
      <c r="O426" s="1676"/>
      <c r="P426" s="1675"/>
      <c r="Q426" s="1675"/>
      <c r="R426" s="1675"/>
      <c r="S426" s="1675"/>
      <c r="T426" s="1675"/>
      <c r="U426" s="1675"/>
      <c r="V426" s="1675"/>
      <c r="W426" s="1675"/>
      <c r="X426" s="1675"/>
      <c r="Y426" s="1675"/>
      <c r="Z426" s="1675"/>
      <c r="AA426" s="1675"/>
    </row>
    <row r="427" spans="1:27" ht="13.5" customHeight="1" x14ac:dyDescent="0.3">
      <c r="A427" s="1675"/>
      <c r="B427" s="1675"/>
      <c r="C427" s="1678"/>
      <c r="D427" s="1771"/>
      <c r="E427" s="1771"/>
      <c r="F427" s="1771"/>
      <c r="G427" s="1689"/>
      <c r="H427" s="1674"/>
      <c r="I427" s="1675"/>
      <c r="J427" s="1675"/>
      <c r="K427" s="1675"/>
      <c r="L427" s="1675"/>
      <c r="M427" s="1676"/>
      <c r="N427" s="1676"/>
      <c r="O427" s="1676"/>
      <c r="P427" s="1675"/>
      <c r="Q427" s="1675"/>
      <c r="R427" s="1675"/>
      <c r="S427" s="1675"/>
      <c r="T427" s="1675"/>
      <c r="U427" s="1675"/>
      <c r="V427" s="1675"/>
      <c r="W427" s="1675"/>
      <c r="X427" s="1675"/>
      <c r="Y427" s="1675"/>
      <c r="Z427" s="1675"/>
      <c r="AA427" s="1675"/>
    </row>
    <row r="428" spans="1:27" ht="13.5" customHeight="1" x14ac:dyDescent="0.3">
      <c r="A428" s="1675"/>
      <c r="B428" s="1675"/>
      <c r="C428" s="1678"/>
      <c r="D428" s="1771"/>
      <c r="E428" s="1771"/>
      <c r="F428" s="1771"/>
      <c r="G428" s="1689"/>
      <c r="H428" s="1674"/>
      <c r="I428" s="1675"/>
      <c r="J428" s="1675"/>
      <c r="K428" s="1675"/>
      <c r="L428" s="1675"/>
      <c r="M428" s="1676"/>
      <c r="N428" s="1676"/>
      <c r="O428" s="1676"/>
      <c r="P428" s="1675"/>
      <c r="Q428" s="1675"/>
      <c r="R428" s="1675"/>
      <c r="S428" s="1675"/>
      <c r="T428" s="1675"/>
      <c r="U428" s="1675"/>
      <c r="V428" s="1675"/>
      <c r="W428" s="1675"/>
      <c r="X428" s="1675"/>
      <c r="Y428" s="1675"/>
      <c r="Z428" s="1675"/>
      <c r="AA428" s="1675"/>
    </row>
    <row r="429" spans="1:27" ht="13.5" customHeight="1" x14ac:dyDescent="0.3">
      <c r="A429" s="1675"/>
      <c r="B429" s="1675"/>
      <c r="C429" s="1678"/>
      <c r="D429" s="1771"/>
      <c r="E429" s="1771"/>
      <c r="F429" s="1771"/>
      <c r="G429" s="1689"/>
      <c r="H429" s="1674"/>
      <c r="I429" s="1675"/>
      <c r="J429" s="1675"/>
      <c r="K429" s="1675"/>
      <c r="L429" s="1675"/>
      <c r="M429" s="1676"/>
      <c r="N429" s="1676"/>
      <c r="O429" s="1676"/>
      <c r="P429" s="1675"/>
      <c r="Q429" s="1675"/>
      <c r="R429" s="1675"/>
      <c r="S429" s="1675"/>
      <c r="T429" s="1675"/>
      <c r="U429" s="1675"/>
      <c r="V429" s="1675"/>
      <c r="W429" s="1675"/>
      <c r="X429" s="1675"/>
      <c r="Y429" s="1675"/>
      <c r="Z429" s="1675"/>
      <c r="AA429" s="1675"/>
    </row>
    <row r="430" spans="1:27" ht="13.5" customHeight="1" x14ac:dyDescent="0.3">
      <c r="A430" s="1675"/>
      <c r="B430" s="1675"/>
      <c r="C430" s="1678"/>
      <c r="D430" s="1771"/>
      <c r="E430" s="1771"/>
      <c r="F430" s="1771"/>
      <c r="G430" s="1689"/>
      <c r="H430" s="1674"/>
      <c r="I430" s="1675"/>
      <c r="J430" s="1675"/>
      <c r="K430" s="1675"/>
      <c r="L430" s="1675"/>
      <c r="M430" s="1676"/>
      <c r="N430" s="1676"/>
      <c r="O430" s="1676"/>
      <c r="P430" s="1675"/>
      <c r="Q430" s="1675"/>
      <c r="R430" s="1675"/>
      <c r="S430" s="1675"/>
      <c r="T430" s="1675"/>
      <c r="U430" s="1675"/>
      <c r="V430" s="1675"/>
      <c r="W430" s="1675"/>
      <c r="X430" s="1675"/>
      <c r="Y430" s="1675"/>
      <c r="Z430" s="1675"/>
      <c r="AA430" s="1675"/>
    </row>
    <row r="431" spans="1:27" ht="13.5" customHeight="1" x14ac:dyDescent="0.3">
      <c r="A431" s="1675"/>
      <c r="B431" s="1675"/>
      <c r="C431" s="1678"/>
      <c r="D431" s="1771"/>
      <c r="E431" s="1771"/>
      <c r="F431" s="1771"/>
      <c r="G431" s="1689"/>
      <c r="H431" s="1674"/>
      <c r="I431" s="1675"/>
      <c r="J431" s="1675"/>
      <c r="K431" s="1675"/>
      <c r="L431" s="1675"/>
      <c r="M431" s="1676"/>
      <c r="N431" s="1676"/>
      <c r="O431" s="1676"/>
      <c r="P431" s="1675"/>
      <c r="Q431" s="1675"/>
      <c r="R431" s="1675"/>
      <c r="S431" s="1675"/>
      <c r="T431" s="1675"/>
      <c r="U431" s="1675"/>
      <c r="V431" s="1675"/>
      <c r="W431" s="1675"/>
      <c r="X431" s="1675"/>
      <c r="Y431" s="1675"/>
      <c r="Z431" s="1675"/>
      <c r="AA431" s="1675"/>
    </row>
    <row r="432" spans="1:27" ht="13.5" customHeight="1" x14ac:dyDescent="0.3">
      <c r="A432" s="1675"/>
      <c r="B432" s="1675"/>
      <c r="C432" s="1678"/>
      <c r="D432" s="1771"/>
      <c r="E432" s="1771"/>
      <c r="F432" s="1771"/>
      <c r="G432" s="1689"/>
      <c r="H432" s="1674"/>
      <c r="I432" s="1675"/>
      <c r="J432" s="1675"/>
      <c r="K432" s="1675"/>
      <c r="L432" s="1675"/>
      <c r="M432" s="1676"/>
      <c r="N432" s="1676"/>
      <c r="O432" s="1676"/>
      <c r="P432" s="1675"/>
      <c r="Q432" s="1675"/>
      <c r="R432" s="1675"/>
      <c r="S432" s="1675"/>
      <c r="T432" s="1675"/>
      <c r="U432" s="1675"/>
      <c r="V432" s="1675"/>
      <c r="W432" s="1675"/>
      <c r="X432" s="1675"/>
      <c r="Y432" s="1675"/>
      <c r="Z432" s="1675"/>
      <c r="AA432" s="1675"/>
    </row>
    <row r="433" spans="1:27" ht="13.5" customHeight="1" x14ac:dyDescent="0.3">
      <c r="A433" s="1675"/>
      <c r="B433" s="1675"/>
      <c r="C433" s="1678"/>
      <c r="D433" s="1771"/>
      <c r="E433" s="1771"/>
      <c r="F433" s="1771"/>
      <c r="G433" s="1689"/>
      <c r="H433" s="1674"/>
      <c r="I433" s="1675"/>
      <c r="J433" s="1675"/>
      <c r="K433" s="1675"/>
      <c r="L433" s="1675"/>
      <c r="M433" s="1676"/>
      <c r="N433" s="1676"/>
      <c r="O433" s="1676"/>
      <c r="P433" s="1675"/>
      <c r="Q433" s="1675"/>
      <c r="R433" s="1675"/>
      <c r="S433" s="1675"/>
      <c r="T433" s="1675"/>
      <c r="U433" s="1675"/>
      <c r="V433" s="1675"/>
      <c r="W433" s="1675"/>
      <c r="X433" s="1675"/>
      <c r="Y433" s="1675"/>
      <c r="Z433" s="1675"/>
      <c r="AA433" s="1675"/>
    </row>
    <row r="434" spans="1:27" ht="13.5" customHeight="1" x14ac:dyDescent="0.3">
      <c r="A434" s="1675"/>
      <c r="B434" s="1675"/>
      <c r="C434" s="1678"/>
      <c r="D434" s="1771"/>
      <c r="E434" s="1771"/>
      <c r="F434" s="1771"/>
      <c r="G434" s="1689"/>
      <c r="H434" s="1674"/>
      <c r="I434" s="1675"/>
      <c r="J434" s="1675"/>
      <c r="K434" s="1675"/>
      <c r="L434" s="1675"/>
      <c r="M434" s="1676"/>
      <c r="N434" s="1676"/>
      <c r="O434" s="1676"/>
      <c r="P434" s="1675"/>
      <c r="Q434" s="1675"/>
      <c r="R434" s="1675"/>
      <c r="S434" s="1675"/>
      <c r="T434" s="1675"/>
      <c r="U434" s="1675"/>
      <c r="V434" s="1675"/>
      <c r="W434" s="1675"/>
      <c r="X434" s="1675"/>
      <c r="Y434" s="1675"/>
      <c r="Z434" s="1675"/>
      <c r="AA434" s="1675"/>
    </row>
    <row r="435" spans="1:27" ht="13.5" customHeight="1" x14ac:dyDescent="0.3">
      <c r="A435" s="1675"/>
      <c r="B435" s="1675"/>
      <c r="C435" s="1678"/>
      <c r="D435" s="1771"/>
      <c r="E435" s="1771"/>
      <c r="F435" s="1771"/>
      <c r="G435" s="1689"/>
      <c r="H435" s="1674"/>
      <c r="I435" s="1675"/>
      <c r="J435" s="1675"/>
      <c r="K435" s="1675"/>
      <c r="L435" s="1675"/>
      <c r="M435" s="1676"/>
      <c r="N435" s="1676"/>
      <c r="O435" s="1676"/>
      <c r="P435" s="1675"/>
      <c r="Q435" s="1675"/>
      <c r="R435" s="1675"/>
      <c r="S435" s="1675"/>
      <c r="T435" s="1675"/>
      <c r="U435" s="1675"/>
      <c r="V435" s="1675"/>
      <c r="W435" s="1675"/>
      <c r="X435" s="1675"/>
      <c r="Y435" s="1675"/>
      <c r="Z435" s="1675"/>
      <c r="AA435" s="1675"/>
    </row>
    <row r="436" spans="1:27" ht="13.5" customHeight="1" x14ac:dyDescent="0.3">
      <c r="A436" s="1675"/>
      <c r="B436" s="1675"/>
      <c r="C436" s="1678"/>
      <c r="D436" s="1771"/>
      <c r="E436" s="1771"/>
      <c r="F436" s="1771"/>
      <c r="G436" s="1689"/>
      <c r="H436" s="1674"/>
      <c r="I436" s="1675"/>
      <c r="J436" s="1675"/>
      <c r="K436" s="1675"/>
      <c r="L436" s="1675"/>
      <c r="M436" s="1676"/>
      <c r="N436" s="1676"/>
      <c r="O436" s="1676"/>
      <c r="P436" s="1675"/>
      <c r="Q436" s="1675"/>
      <c r="R436" s="1675"/>
      <c r="S436" s="1675"/>
      <c r="T436" s="1675"/>
      <c r="U436" s="1675"/>
      <c r="V436" s="1675"/>
      <c r="W436" s="1675"/>
      <c r="X436" s="1675"/>
      <c r="Y436" s="1675"/>
      <c r="Z436" s="1675"/>
      <c r="AA436" s="1675"/>
    </row>
    <row r="437" spans="1:27" ht="13.5" customHeight="1" x14ac:dyDescent="0.3">
      <c r="A437" s="1675"/>
      <c r="B437" s="1675"/>
      <c r="C437" s="1678"/>
      <c r="D437" s="1771"/>
      <c r="E437" s="1771"/>
      <c r="F437" s="1771"/>
      <c r="G437" s="1689"/>
      <c r="H437" s="1674"/>
      <c r="I437" s="1675"/>
      <c r="J437" s="1675"/>
      <c r="K437" s="1675"/>
      <c r="L437" s="1675"/>
      <c r="M437" s="1676"/>
      <c r="N437" s="1676"/>
      <c r="O437" s="1676"/>
      <c r="P437" s="1675"/>
      <c r="Q437" s="1675"/>
      <c r="R437" s="1675"/>
      <c r="S437" s="1675"/>
      <c r="T437" s="1675"/>
      <c r="U437" s="1675"/>
      <c r="V437" s="1675"/>
      <c r="W437" s="1675"/>
      <c r="X437" s="1675"/>
      <c r="Y437" s="1675"/>
      <c r="Z437" s="1675"/>
      <c r="AA437" s="1675"/>
    </row>
    <row r="438" spans="1:27" ht="13.5" customHeight="1" x14ac:dyDescent="0.3">
      <c r="A438" s="1675"/>
      <c r="B438" s="1675"/>
      <c r="C438" s="1678"/>
      <c r="D438" s="1771"/>
      <c r="E438" s="1771"/>
      <c r="F438" s="1771"/>
      <c r="G438" s="1689"/>
      <c r="H438" s="1674"/>
      <c r="I438" s="1675"/>
      <c r="J438" s="1675"/>
      <c r="K438" s="1675"/>
      <c r="L438" s="1675"/>
      <c r="M438" s="1676"/>
      <c r="N438" s="1676"/>
      <c r="O438" s="1676"/>
      <c r="P438" s="1675"/>
      <c r="Q438" s="1675"/>
      <c r="R438" s="1675"/>
      <c r="S438" s="1675"/>
      <c r="T438" s="1675"/>
      <c r="U438" s="1675"/>
      <c r="V438" s="1675"/>
      <c r="W438" s="1675"/>
      <c r="X438" s="1675"/>
      <c r="Y438" s="1675"/>
      <c r="Z438" s="1675"/>
      <c r="AA438" s="1675"/>
    </row>
    <row r="439" spans="1:27" ht="13.5" customHeight="1" x14ac:dyDescent="0.3">
      <c r="A439" s="1675"/>
      <c r="B439" s="1675"/>
      <c r="C439" s="1678"/>
      <c r="D439" s="1771"/>
      <c r="E439" s="1771"/>
      <c r="F439" s="1771"/>
      <c r="G439" s="1689"/>
      <c r="H439" s="1674"/>
      <c r="I439" s="1675"/>
      <c r="J439" s="1675"/>
      <c r="K439" s="1675"/>
      <c r="L439" s="1675"/>
      <c r="M439" s="1676"/>
      <c r="N439" s="1676"/>
      <c r="O439" s="1676"/>
      <c r="P439" s="1675"/>
      <c r="Q439" s="1675"/>
      <c r="R439" s="1675"/>
      <c r="S439" s="1675"/>
      <c r="T439" s="1675"/>
      <c r="U439" s="1675"/>
      <c r="V439" s="1675"/>
      <c r="W439" s="1675"/>
      <c r="X439" s="1675"/>
      <c r="Y439" s="1675"/>
      <c r="Z439" s="1675"/>
      <c r="AA439" s="1675"/>
    </row>
    <row r="440" spans="1:27" ht="13.5" customHeight="1" x14ac:dyDescent="0.3">
      <c r="A440" s="1675"/>
      <c r="B440" s="1675"/>
      <c r="C440" s="1678"/>
      <c r="D440" s="1771"/>
      <c r="E440" s="1771"/>
      <c r="F440" s="1771"/>
      <c r="G440" s="1689"/>
      <c r="H440" s="1674"/>
      <c r="I440" s="1675"/>
      <c r="J440" s="1675"/>
      <c r="K440" s="1675"/>
      <c r="L440" s="1675"/>
      <c r="M440" s="1676"/>
      <c r="N440" s="1676"/>
      <c r="O440" s="1676"/>
      <c r="P440" s="1675"/>
      <c r="Q440" s="1675"/>
      <c r="R440" s="1675"/>
      <c r="S440" s="1675"/>
      <c r="T440" s="1675"/>
      <c r="U440" s="1675"/>
      <c r="V440" s="1675"/>
      <c r="W440" s="1675"/>
      <c r="X440" s="1675"/>
      <c r="Y440" s="1675"/>
      <c r="Z440" s="1675"/>
      <c r="AA440" s="1675"/>
    </row>
    <row r="441" spans="1:27" ht="13.5" customHeight="1" x14ac:dyDescent="0.3">
      <c r="A441" s="1675"/>
      <c r="B441" s="1675"/>
      <c r="C441" s="1678"/>
      <c r="D441" s="1771"/>
      <c r="E441" s="1771"/>
      <c r="F441" s="1771"/>
      <c r="G441" s="1689"/>
      <c r="H441" s="1674"/>
      <c r="I441" s="1675"/>
      <c r="J441" s="1675"/>
      <c r="K441" s="1675"/>
      <c r="L441" s="1675"/>
      <c r="M441" s="1676"/>
      <c r="N441" s="1676"/>
      <c r="O441" s="1676"/>
      <c r="P441" s="1675"/>
      <c r="Q441" s="1675"/>
      <c r="R441" s="1675"/>
      <c r="S441" s="1675"/>
      <c r="T441" s="1675"/>
      <c r="U441" s="1675"/>
      <c r="V441" s="1675"/>
      <c r="W441" s="1675"/>
      <c r="X441" s="1675"/>
      <c r="Y441" s="1675"/>
      <c r="Z441" s="1675"/>
      <c r="AA441" s="1675"/>
    </row>
    <row r="442" spans="1:27" ht="13.5" customHeight="1" x14ac:dyDescent="0.3">
      <c r="A442" s="1675"/>
      <c r="B442" s="1675"/>
      <c r="C442" s="1678"/>
      <c r="D442" s="1771"/>
      <c r="E442" s="1771"/>
      <c r="F442" s="1771"/>
      <c r="G442" s="1689"/>
      <c r="H442" s="1674"/>
      <c r="I442" s="1675"/>
      <c r="J442" s="1675"/>
      <c r="K442" s="1675"/>
      <c r="L442" s="1675"/>
      <c r="M442" s="1676"/>
      <c r="N442" s="1676"/>
      <c r="O442" s="1676"/>
      <c r="P442" s="1675"/>
      <c r="Q442" s="1675"/>
      <c r="R442" s="1675"/>
      <c r="S442" s="1675"/>
      <c r="T442" s="1675"/>
      <c r="U442" s="1675"/>
      <c r="V442" s="1675"/>
      <c r="W442" s="1675"/>
      <c r="X442" s="1675"/>
      <c r="Y442" s="1675"/>
      <c r="Z442" s="1675"/>
      <c r="AA442" s="1675"/>
    </row>
    <row r="443" spans="1:27" ht="13.5" customHeight="1" x14ac:dyDescent="0.3">
      <c r="A443" s="1675"/>
      <c r="B443" s="1675"/>
      <c r="C443" s="1678"/>
      <c r="D443" s="1771"/>
      <c r="E443" s="1771"/>
      <c r="F443" s="1771"/>
      <c r="G443" s="1689"/>
      <c r="H443" s="1674"/>
      <c r="I443" s="1675"/>
      <c r="J443" s="1675"/>
      <c r="K443" s="1675"/>
      <c r="L443" s="1675"/>
      <c r="M443" s="1676"/>
      <c r="N443" s="1676"/>
      <c r="O443" s="1676"/>
      <c r="P443" s="1675"/>
      <c r="Q443" s="1675"/>
      <c r="R443" s="1675"/>
      <c r="S443" s="1675"/>
      <c r="T443" s="1675"/>
      <c r="U443" s="1675"/>
      <c r="V443" s="1675"/>
      <c r="W443" s="1675"/>
      <c r="X443" s="1675"/>
      <c r="Y443" s="1675"/>
      <c r="Z443" s="1675"/>
      <c r="AA443" s="1675"/>
    </row>
    <row r="444" spans="1:27" ht="13.5" customHeight="1" x14ac:dyDescent="0.3">
      <c r="A444" s="1675"/>
      <c r="B444" s="1675"/>
      <c r="C444" s="1678"/>
      <c r="D444" s="1771"/>
      <c r="E444" s="1771"/>
      <c r="F444" s="1771"/>
      <c r="G444" s="1689"/>
      <c r="H444" s="1674"/>
      <c r="I444" s="1675"/>
      <c r="J444" s="1675"/>
      <c r="K444" s="1675"/>
      <c r="L444" s="1675"/>
      <c r="M444" s="1676"/>
      <c r="N444" s="1676"/>
      <c r="O444" s="1676"/>
      <c r="P444" s="1675"/>
      <c r="Q444" s="1675"/>
      <c r="R444" s="1675"/>
      <c r="S444" s="1675"/>
      <c r="T444" s="1675"/>
      <c r="U444" s="1675"/>
      <c r="V444" s="1675"/>
      <c r="W444" s="1675"/>
      <c r="X444" s="1675"/>
      <c r="Y444" s="1675"/>
      <c r="Z444" s="1675"/>
      <c r="AA444" s="1675"/>
    </row>
    <row r="445" spans="1:27" ht="13.5" customHeight="1" x14ac:dyDescent="0.3">
      <c r="A445" s="1675"/>
      <c r="B445" s="1675"/>
      <c r="C445" s="1678"/>
      <c r="D445" s="1771"/>
      <c r="E445" s="1771"/>
      <c r="F445" s="1771"/>
      <c r="G445" s="1689"/>
      <c r="H445" s="1674"/>
      <c r="I445" s="1675"/>
      <c r="J445" s="1675"/>
      <c r="K445" s="1675"/>
      <c r="L445" s="1675"/>
      <c r="M445" s="1676"/>
      <c r="N445" s="1676"/>
      <c r="O445" s="1676"/>
      <c r="P445" s="1675"/>
      <c r="Q445" s="1675"/>
      <c r="R445" s="1675"/>
      <c r="S445" s="1675"/>
      <c r="T445" s="1675"/>
      <c r="U445" s="1675"/>
      <c r="V445" s="1675"/>
      <c r="W445" s="1675"/>
      <c r="X445" s="1675"/>
      <c r="Y445" s="1675"/>
      <c r="Z445" s="1675"/>
      <c r="AA445" s="1675"/>
    </row>
    <row r="446" spans="1:27" ht="13.5" customHeight="1" x14ac:dyDescent="0.3">
      <c r="A446" s="1675"/>
      <c r="B446" s="1675"/>
      <c r="C446" s="1678"/>
      <c r="D446" s="1771"/>
      <c r="E446" s="1771"/>
      <c r="F446" s="1771"/>
      <c r="G446" s="1689"/>
      <c r="H446" s="1674"/>
      <c r="I446" s="1675"/>
      <c r="J446" s="1675"/>
      <c r="K446" s="1675"/>
      <c r="L446" s="1675"/>
      <c r="M446" s="1676"/>
      <c r="N446" s="1676"/>
      <c r="O446" s="1676"/>
      <c r="P446" s="1675"/>
      <c r="Q446" s="1675"/>
      <c r="R446" s="1675"/>
      <c r="S446" s="1675"/>
      <c r="T446" s="1675"/>
      <c r="U446" s="1675"/>
      <c r="V446" s="1675"/>
      <c r="W446" s="1675"/>
      <c r="X446" s="1675"/>
      <c r="Y446" s="1675"/>
      <c r="Z446" s="1675"/>
      <c r="AA446" s="1675"/>
    </row>
    <row r="447" spans="1:27" ht="13.5" customHeight="1" x14ac:dyDescent="0.3">
      <c r="A447" s="1675"/>
      <c r="B447" s="1675"/>
      <c r="C447" s="1678"/>
      <c r="D447" s="1771"/>
      <c r="E447" s="1771"/>
      <c r="F447" s="1771"/>
      <c r="G447" s="1689"/>
      <c r="H447" s="1674"/>
      <c r="I447" s="1675"/>
      <c r="J447" s="1675"/>
      <c r="K447" s="1675"/>
      <c r="L447" s="1675"/>
      <c r="M447" s="1676"/>
      <c r="N447" s="1676"/>
      <c r="O447" s="1676"/>
      <c r="P447" s="1675"/>
      <c r="Q447" s="1675"/>
      <c r="R447" s="1675"/>
      <c r="S447" s="1675"/>
      <c r="T447" s="1675"/>
      <c r="U447" s="1675"/>
      <c r="V447" s="1675"/>
      <c r="W447" s="1675"/>
      <c r="X447" s="1675"/>
      <c r="Y447" s="1675"/>
      <c r="Z447" s="1675"/>
      <c r="AA447" s="1675"/>
    </row>
    <row r="448" spans="1:27" ht="13.5" customHeight="1" x14ac:dyDescent="0.3">
      <c r="A448" s="1675"/>
      <c r="B448" s="1675"/>
      <c r="C448" s="1678"/>
      <c r="D448" s="1771"/>
      <c r="E448" s="1771"/>
      <c r="F448" s="1771"/>
      <c r="G448" s="1689"/>
      <c r="H448" s="1674"/>
      <c r="I448" s="1675"/>
      <c r="J448" s="1675"/>
      <c r="K448" s="1675"/>
      <c r="L448" s="1675"/>
      <c r="M448" s="1676"/>
      <c r="N448" s="1676"/>
      <c r="O448" s="1676"/>
      <c r="P448" s="1675"/>
      <c r="Q448" s="1675"/>
      <c r="R448" s="1675"/>
      <c r="S448" s="1675"/>
      <c r="T448" s="1675"/>
      <c r="U448" s="1675"/>
      <c r="V448" s="1675"/>
      <c r="W448" s="1675"/>
      <c r="X448" s="1675"/>
      <c r="Y448" s="1675"/>
      <c r="Z448" s="1675"/>
      <c r="AA448" s="1675"/>
    </row>
    <row r="449" spans="1:27" ht="13.5" customHeight="1" x14ac:dyDescent="0.3">
      <c r="A449" s="1675"/>
      <c r="B449" s="1675"/>
      <c r="C449" s="1678"/>
      <c r="D449" s="1771"/>
      <c r="E449" s="1771"/>
      <c r="F449" s="1771"/>
      <c r="G449" s="1689"/>
      <c r="H449" s="1674"/>
      <c r="I449" s="1675"/>
      <c r="J449" s="1675"/>
      <c r="K449" s="1675"/>
      <c r="L449" s="1675"/>
      <c r="M449" s="1676"/>
      <c r="N449" s="1676"/>
      <c r="O449" s="1676"/>
      <c r="P449" s="1675"/>
      <c r="Q449" s="1675"/>
      <c r="R449" s="1675"/>
      <c r="S449" s="1675"/>
      <c r="T449" s="1675"/>
      <c r="U449" s="1675"/>
      <c r="V449" s="1675"/>
      <c r="W449" s="1675"/>
      <c r="X449" s="1675"/>
      <c r="Y449" s="1675"/>
      <c r="Z449" s="1675"/>
      <c r="AA449" s="1675"/>
    </row>
    <row r="450" spans="1:27" ht="13.5" customHeight="1" x14ac:dyDescent="0.3">
      <c r="A450" s="1675"/>
      <c r="B450" s="1675"/>
      <c r="C450" s="1678"/>
      <c r="D450" s="1771"/>
      <c r="E450" s="1771"/>
      <c r="F450" s="1771"/>
      <c r="G450" s="1689"/>
      <c r="H450" s="1674"/>
      <c r="I450" s="1675"/>
      <c r="J450" s="1675"/>
      <c r="K450" s="1675"/>
      <c r="L450" s="1675"/>
      <c r="M450" s="1676"/>
      <c r="N450" s="1676"/>
      <c r="O450" s="1676"/>
      <c r="P450" s="1675"/>
      <c r="Q450" s="1675"/>
      <c r="R450" s="1675"/>
      <c r="S450" s="1675"/>
      <c r="T450" s="1675"/>
      <c r="U450" s="1675"/>
      <c r="V450" s="1675"/>
      <c r="W450" s="1675"/>
      <c r="X450" s="1675"/>
      <c r="Y450" s="1675"/>
      <c r="Z450" s="1675"/>
      <c r="AA450" s="1675"/>
    </row>
    <row r="451" spans="1:27" ht="13.5" customHeight="1" x14ac:dyDescent="0.3">
      <c r="A451" s="1675"/>
      <c r="B451" s="1675"/>
      <c r="C451" s="1678"/>
      <c r="D451" s="1771"/>
      <c r="E451" s="1771"/>
      <c r="F451" s="1771"/>
      <c r="G451" s="1689"/>
      <c r="H451" s="1674"/>
      <c r="I451" s="1675"/>
      <c r="J451" s="1675"/>
      <c r="K451" s="1675"/>
      <c r="L451" s="1675"/>
      <c r="M451" s="1676"/>
      <c r="N451" s="1676"/>
      <c r="O451" s="1676"/>
      <c r="P451" s="1675"/>
      <c r="Q451" s="1675"/>
      <c r="R451" s="1675"/>
      <c r="S451" s="1675"/>
      <c r="T451" s="1675"/>
      <c r="U451" s="1675"/>
      <c r="V451" s="1675"/>
      <c r="W451" s="1675"/>
      <c r="X451" s="1675"/>
      <c r="Y451" s="1675"/>
      <c r="Z451" s="1675"/>
      <c r="AA451" s="1675"/>
    </row>
    <row r="452" spans="1:27" ht="13.5" customHeight="1" x14ac:dyDescent="0.3">
      <c r="A452" s="1675"/>
      <c r="B452" s="1675"/>
      <c r="C452" s="1678"/>
      <c r="D452" s="1771"/>
      <c r="E452" s="1771"/>
      <c r="F452" s="1771"/>
      <c r="G452" s="1689"/>
      <c r="H452" s="1674"/>
      <c r="I452" s="1675"/>
      <c r="J452" s="1675"/>
      <c r="K452" s="1675"/>
      <c r="L452" s="1675"/>
      <c r="M452" s="1676"/>
      <c r="N452" s="1676"/>
      <c r="O452" s="1676"/>
      <c r="P452" s="1675"/>
      <c r="Q452" s="1675"/>
      <c r="R452" s="1675"/>
      <c r="S452" s="1675"/>
      <c r="T452" s="1675"/>
      <c r="U452" s="1675"/>
      <c r="V452" s="1675"/>
      <c r="W452" s="1675"/>
      <c r="X452" s="1675"/>
      <c r="Y452" s="1675"/>
      <c r="Z452" s="1675"/>
      <c r="AA452" s="1675"/>
    </row>
    <row r="453" spans="1:27" ht="13.5" customHeight="1" x14ac:dyDescent="0.3">
      <c r="A453" s="1675"/>
      <c r="B453" s="1675"/>
      <c r="C453" s="1678"/>
      <c r="D453" s="1771"/>
      <c r="E453" s="1771"/>
      <c r="F453" s="1771"/>
      <c r="G453" s="1689"/>
      <c r="H453" s="1674"/>
      <c r="I453" s="1675"/>
      <c r="J453" s="1675"/>
      <c r="K453" s="1675"/>
      <c r="L453" s="1675"/>
      <c r="M453" s="1676"/>
      <c r="N453" s="1676"/>
      <c r="O453" s="1676"/>
      <c r="P453" s="1675"/>
      <c r="Q453" s="1675"/>
      <c r="R453" s="1675"/>
      <c r="S453" s="1675"/>
      <c r="T453" s="1675"/>
      <c r="U453" s="1675"/>
      <c r="V453" s="1675"/>
      <c r="W453" s="1675"/>
      <c r="X453" s="1675"/>
      <c r="Y453" s="1675"/>
      <c r="Z453" s="1675"/>
      <c r="AA453" s="1675"/>
    </row>
    <row r="454" spans="1:27" ht="13.5" customHeight="1" x14ac:dyDescent="0.3">
      <c r="A454" s="1675"/>
      <c r="B454" s="1675"/>
      <c r="C454" s="1678"/>
      <c r="D454" s="1771"/>
      <c r="E454" s="1771"/>
      <c r="F454" s="1771"/>
      <c r="G454" s="1689"/>
      <c r="H454" s="1674"/>
      <c r="I454" s="1675"/>
      <c r="J454" s="1675"/>
      <c r="K454" s="1675"/>
      <c r="L454" s="1675"/>
      <c r="M454" s="1676"/>
      <c r="N454" s="1676"/>
      <c r="O454" s="1676"/>
      <c r="P454" s="1675"/>
      <c r="Q454" s="1675"/>
      <c r="R454" s="1675"/>
      <c r="S454" s="1675"/>
      <c r="T454" s="1675"/>
      <c r="U454" s="1675"/>
      <c r="V454" s="1675"/>
      <c r="W454" s="1675"/>
      <c r="X454" s="1675"/>
      <c r="Y454" s="1675"/>
      <c r="Z454" s="1675"/>
      <c r="AA454" s="1675"/>
    </row>
    <row r="455" spans="1:27" ht="13.5" customHeight="1" x14ac:dyDescent="0.3">
      <c r="A455" s="1675"/>
      <c r="B455" s="1675"/>
      <c r="C455" s="1678"/>
      <c r="D455" s="1771"/>
      <c r="E455" s="1771"/>
      <c r="F455" s="1771"/>
      <c r="G455" s="1689"/>
      <c r="H455" s="1674"/>
      <c r="I455" s="1675"/>
      <c r="J455" s="1675"/>
      <c r="K455" s="1675"/>
      <c r="L455" s="1675"/>
      <c r="M455" s="1676"/>
      <c r="N455" s="1676"/>
      <c r="O455" s="1676"/>
      <c r="P455" s="1675"/>
      <c r="Q455" s="1675"/>
      <c r="R455" s="1675"/>
      <c r="S455" s="1675"/>
      <c r="T455" s="1675"/>
      <c r="U455" s="1675"/>
      <c r="V455" s="1675"/>
      <c r="W455" s="1675"/>
      <c r="X455" s="1675"/>
      <c r="Y455" s="1675"/>
      <c r="Z455" s="1675"/>
      <c r="AA455" s="1675"/>
    </row>
    <row r="456" spans="1:27" ht="13.5" customHeight="1" x14ac:dyDescent="0.3">
      <c r="A456" s="1675"/>
      <c r="B456" s="1675"/>
      <c r="C456" s="1678"/>
      <c r="D456" s="1771"/>
      <c r="E456" s="1771"/>
      <c r="F456" s="1771"/>
      <c r="G456" s="1689"/>
      <c r="H456" s="1674"/>
      <c r="I456" s="1675"/>
      <c r="J456" s="1675"/>
      <c r="K456" s="1675"/>
      <c r="L456" s="1675"/>
      <c r="M456" s="1676"/>
      <c r="N456" s="1676"/>
      <c r="O456" s="1676"/>
      <c r="P456" s="1675"/>
      <c r="Q456" s="1675"/>
      <c r="R456" s="1675"/>
      <c r="S456" s="1675"/>
      <c r="T456" s="1675"/>
      <c r="U456" s="1675"/>
      <c r="V456" s="1675"/>
      <c r="W456" s="1675"/>
      <c r="X456" s="1675"/>
      <c r="Y456" s="1675"/>
      <c r="Z456" s="1675"/>
      <c r="AA456" s="1675"/>
    </row>
    <row r="457" spans="1:27" ht="13.5" customHeight="1" x14ac:dyDescent="0.3">
      <c r="A457" s="1675"/>
      <c r="B457" s="1675"/>
      <c r="C457" s="1678"/>
      <c r="D457" s="1771"/>
      <c r="E457" s="1771"/>
      <c r="F457" s="1771"/>
      <c r="G457" s="1689"/>
      <c r="H457" s="1674"/>
      <c r="I457" s="1675"/>
      <c r="J457" s="1675"/>
      <c r="K457" s="1675"/>
      <c r="L457" s="1675"/>
      <c r="M457" s="1676"/>
      <c r="N457" s="1676"/>
      <c r="O457" s="1676"/>
      <c r="P457" s="1675"/>
      <c r="Q457" s="1675"/>
      <c r="R457" s="1675"/>
      <c r="S457" s="1675"/>
      <c r="T457" s="1675"/>
      <c r="U457" s="1675"/>
      <c r="V457" s="1675"/>
      <c r="W457" s="1675"/>
      <c r="X457" s="1675"/>
      <c r="Y457" s="1675"/>
      <c r="Z457" s="1675"/>
      <c r="AA457" s="1675"/>
    </row>
    <row r="458" spans="1:27" ht="13.5" customHeight="1" x14ac:dyDescent="0.3">
      <c r="A458" s="1675"/>
      <c r="B458" s="1675"/>
      <c r="C458" s="1678"/>
      <c r="D458" s="1771"/>
      <c r="E458" s="1771"/>
      <c r="F458" s="1771"/>
      <c r="G458" s="1689"/>
      <c r="H458" s="1674"/>
      <c r="I458" s="1675"/>
      <c r="J458" s="1675"/>
      <c r="K458" s="1675"/>
      <c r="L458" s="1675"/>
      <c r="M458" s="1676"/>
      <c r="N458" s="1676"/>
      <c r="O458" s="1676"/>
      <c r="P458" s="1675"/>
      <c r="Q458" s="1675"/>
      <c r="R458" s="1675"/>
      <c r="S458" s="1675"/>
      <c r="T458" s="1675"/>
      <c r="U458" s="1675"/>
      <c r="V458" s="1675"/>
      <c r="W458" s="1675"/>
      <c r="X458" s="1675"/>
      <c r="Y458" s="1675"/>
      <c r="Z458" s="1675"/>
      <c r="AA458" s="1675"/>
    </row>
    <row r="459" spans="1:27" ht="13.5" customHeight="1" x14ac:dyDescent="0.3">
      <c r="A459" s="1675"/>
      <c r="B459" s="1675"/>
      <c r="C459" s="1678"/>
      <c r="D459" s="1771"/>
      <c r="E459" s="1771"/>
      <c r="F459" s="1771"/>
      <c r="G459" s="1689"/>
      <c r="H459" s="1674"/>
      <c r="I459" s="1675"/>
      <c r="J459" s="1675"/>
      <c r="K459" s="1675"/>
      <c r="L459" s="1675"/>
      <c r="M459" s="1676"/>
      <c r="N459" s="1676"/>
      <c r="O459" s="1676"/>
      <c r="P459" s="1675"/>
      <c r="Q459" s="1675"/>
      <c r="R459" s="1675"/>
      <c r="S459" s="1675"/>
      <c r="T459" s="1675"/>
      <c r="U459" s="1675"/>
      <c r="V459" s="1675"/>
      <c r="W459" s="1675"/>
      <c r="X459" s="1675"/>
      <c r="Y459" s="1675"/>
      <c r="Z459" s="1675"/>
      <c r="AA459" s="1675"/>
    </row>
    <row r="460" spans="1:27" ht="13.5" customHeight="1" x14ac:dyDescent="0.3">
      <c r="A460" s="1675"/>
      <c r="B460" s="1675"/>
      <c r="C460" s="1678"/>
      <c r="D460" s="1771"/>
      <c r="E460" s="1771"/>
      <c r="F460" s="1771"/>
      <c r="G460" s="1689"/>
      <c r="H460" s="1674"/>
      <c r="I460" s="1675"/>
      <c r="J460" s="1675"/>
      <c r="K460" s="1675"/>
      <c r="L460" s="1675"/>
      <c r="M460" s="1676"/>
      <c r="N460" s="1676"/>
      <c r="O460" s="1676"/>
      <c r="P460" s="1675"/>
      <c r="Q460" s="1675"/>
      <c r="R460" s="1675"/>
      <c r="S460" s="1675"/>
      <c r="T460" s="1675"/>
      <c r="U460" s="1675"/>
      <c r="V460" s="1675"/>
      <c r="W460" s="1675"/>
      <c r="X460" s="1675"/>
      <c r="Y460" s="1675"/>
      <c r="Z460" s="1675"/>
      <c r="AA460" s="1675"/>
    </row>
    <row r="461" spans="1:27" ht="13.5" customHeight="1" x14ac:dyDescent="0.3">
      <c r="A461" s="1675"/>
      <c r="B461" s="1675"/>
      <c r="C461" s="1678"/>
      <c r="D461" s="1771"/>
      <c r="E461" s="1771"/>
      <c r="F461" s="1771"/>
      <c r="G461" s="1689"/>
      <c r="H461" s="1674"/>
      <c r="I461" s="1675"/>
      <c r="J461" s="1675"/>
      <c r="K461" s="1675"/>
      <c r="L461" s="1675"/>
      <c r="M461" s="1676"/>
      <c r="N461" s="1676"/>
      <c r="O461" s="1676"/>
      <c r="P461" s="1675"/>
      <c r="Q461" s="1675"/>
      <c r="R461" s="1675"/>
      <c r="S461" s="1675"/>
      <c r="T461" s="1675"/>
      <c r="U461" s="1675"/>
      <c r="V461" s="1675"/>
      <c r="W461" s="1675"/>
      <c r="X461" s="1675"/>
      <c r="Y461" s="1675"/>
      <c r="Z461" s="1675"/>
      <c r="AA461" s="1675"/>
    </row>
    <row r="462" spans="1:27" ht="13.5" customHeight="1" x14ac:dyDescent="0.3">
      <c r="A462" s="1675"/>
      <c r="B462" s="1675"/>
      <c r="C462" s="1678"/>
      <c r="D462" s="1771"/>
      <c r="E462" s="1771"/>
      <c r="F462" s="1771"/>
      <c r="G462" s="1689"/>
      <c r="H462" s="1674"/>
      <c r="I462" s="1675"/>
      <c r="J462" s="1675"/>
      <c r="K462" s="1675"/>
      <c r="L462" s="1675"/>
      <c r="M462" s="1676"/>
      <c r="N462" s="1676"/>
      <c r="O462" s="1676"/>
      <c r="P462" s="1675"/>
      <c r="Q462" s="1675"/>
      <c r="R462" s="1675"/>
      <c r="S462" s="1675"/>
      <c r="T462" s="1675"/>
      <c r="U462" s="1675"/>
      <c r="V462" s="1675"/>
      <c r="W462" s="1675"/>
      <c r="X462" s="1675"/>
      <c r="Y462" s="1675"/>
      <c r="Z462" s="1675"/>
      <c r="AA462" s="1675"/>
    </row>
    <row r="463" spans="1:27" ht="13.5" customHeight="1" x14ac:dyDescent="0.3">
      <c r="A463" s="1675"/>
      <c r="B463" s="1675"/>
      <c r="C463" s="1678"/>
      <c r="D463" s="1771"/>
      <c r="E463" s="1771"/>
      <c r="F463" s="1771"/>
      <c r="G463" s="1689"/>
      <c r="H463" s="1674"/>
      <c r="I463" s="1675"/>
      <c r="J463" s="1675"/>
      <c r="K463" s="1675"/>
      <c r="L463" s="1675"/>
      <c r="M463" s="1676"/>
      <c r="N463" s="1676"/>
      <c r="O463" s="1676"/>
      <c r="P463" s="1675"/>
      <c r="Q463" s="1675"/>
      <c r="R463" s="1675"/>
      <c r="S463" s="1675"/>
      <c r="T463" s="1675"/>
      <c r="U463" s="1675"/>
      <c r="V463" s="1675"/>
      <c r="W463" s="1675"/>
      <c r="X463" s="1675"/>
      <c r="Y463" s="1675"/>
      <c r="Z463" s="1675"/>
      <c r="AA463" s="1675"/>
    </row>
    <row r="464" spans="1:27" ht="13.5" customHeight="1" x14ac:dyDescent="0.3">
      <c r="A464" s="1675"/>
      <c r="B464" s="1675"/>
      <c r="C464" s="1678"/>
      <c r="D464" s="1771"/>
      <c r="E464" s="1771"/>
      <c r="F464" s="1771"/>
      <c r="G464" s="1689"/>
      <c r="H464" s="1674"/>
      <c r="I464" s="1675"/>
      <c r="J464" s="1675"/>
      <c r="K464" s="1675"/>
      <c r="L464" s="1675"/>
      <c r="M464" s="1676"/>
      <c r="N464" s="1676"/>
      <c r="O464" s="1676"/>
      <c r="P464" s="1675"/>
      <c r="Q464" s="1675"/>
      <c r="R464" s="1675"/>
      <c r="S464" s="1675"/>
      <c r="T464" s="1675"/>
      <c r="U464" s="1675"/>
      <c r="V464" s="1675"/>
      <c r="W464" s="1675"/>
      <c r="X464" s="1675"/>
      <c r="Y464" s="1675"/>
      <c r="Z464" s="1675"/>
      <c r="AA464" s="1675"/>
    </row>
    <row r="465" spans="1:27" ht="13.5" customHeight="1" x14ac:dyDescent="0.3">
      <c r="A465" s="1675"/>
      <c r="B465" s="1675"/>
      <c r="C465" s="1678"/>
      <c r="D465" s="1771"/>
      <c r="E465" s="1771"/>
      <c r="F465" s="1771"/>
      <c r="G465" s="1689"/>
      <c r="H465" s="1674"/>
      <c r="I465" s="1675"/>
      <c r="J465" s="1675"/>
      <c r="K465" s="1675"/>
      <c r="L465" s="1675"/>
      <c r="M465" s="1676"/>
      <c r="N465" s="1676"/>
      <c r="O465" s="1676"/>
      <c r="P465" s="1675"/>
      <c r="Q465" s="1675"/>
      <c r="R465" s="1675"/>
      <c r="S465" s="1675"/>
      <c r="T465" s="1675"/>
      <c r="U465" s="1675"/>
      <c r="V465" s="1675"/>
      <c r="W465" s="1675"/>
      <c r="X465" s="1675"/>
      <c r="Y465" s="1675"/>
      <c r="Z465" s="1675"/>
      <c r="AA465" s="1675"/>
    </row>
    <row r="466" spans="1:27" ht="13.5" customHeight="1" x14ac:dyDescent="0.3">
      <c r="A466" s="1675"/>
      <c r="B466" s="1675"/>
      <c r="C466" s="1678"/>
      <c r="D466" s="1771"/>
      <c r="E466" s="1771"/>
      <c r="F466" s="1771"/>
      <c r="G466" s="1689"/>
      <c r="H466" s="1674"/>
      <c r="I466" s="1675"/>
      <c r="J466" s="1675"/>
      <c r="K466" s="1675"/>
      <c r="L466" s="1675"/>
      <c r="M466" s="1676"/>
      <c r="N466" s="1676"/>
      <c r="O466" s="1676"/>
      <c r="P466" s="1675"/>
      <c r="Q466" s="1675"/>
      <c r="R466" s="1675"/>
      <c r="S466" s="1675"/>
      <c r="T466" s="1675"/>
      <c r="U466" s="1675"/>
      <c r="V466" s="1675"/>
      <c r="W466" s="1675"/>
      <c r="X466" s="1675"/>
      <c r="Y466" s="1675"/>
      <c r="Z466" s="1675"/>
      <c r="AA466" s="1675"/>
    </row>
    <row r="467" spans="1:27" ht="13.5" customHeight="1" x14ac:dyDescent="0.3">
      <c r="A467" s="1675"/>
      <c r="B467" s="1675"/>
      <c r="C467" s="1678"/>
      <c r="D467" s="1771"/>
      <c r="E467" s="1771"/>
      <c r="F467" s="1771"/>
      <c r="G467" s="1689"/>
      <c r="H467" s="1674"/>
      <c r="I467" s="1675"/>
      <c r="J467" s="1675"/>
      <c r="K467" s="1675"/>
      <c r="L467" s="1675"/>
      <c r="M467" s="1676"/>
      <c r="N467" s="1676"/>
      <c r="O467" s="1676"/>
      <c r="P467" s="1675"/>
      <c r="Q467" s="1675"/>
      <c r="R467" s="1675"/>
      <c r="S467" s="1675"/>
      <c r="T467" s="1675"/>
      <c r="U467" s="1675"/>
      <c r="V467" s="1675"/>
      <c r="W467" s="1675"/>
      <c r="X467" s="1675"/>
      <c r="Y467" s="1675"/>
      <c r="Z467" s="1675"/>
      <c r="AA467" s="1675"/>
    </row>
    <row r="468" spans="1:27" ht="13.5" customHeight="1" x14ac:dyDescent="0.3">
      <c r="A468" s="1675"/>
      <c r="B468" s="1675"/>
      <c r="C468" s="1678"/>
      <c r="D468" s="1771"/>
      <c r="E468" s="1771"/>
      <c r="F468" s="1771"/>
      <c r="G468" s="1689"/>
      <c r="H468" s="1674"/>
      <c r="I468" s="1675"/>
      <c r="J468" s="1675"/>
      <c r="K468" s="1675"/>
      <c r="L468" s="1675"/>
      <c r="M468" s="1676"/>
      <c r="N468" s="1676"/>
      <c r="O468" s="1676"/>
      <c r="P468" s="1675"/>
      <c r="Q468" s="1675"/>
      <c r="R468" s="1675"/>
      <c r="S468" s="1675"/>
      <c r="T468" s="1675"/>
      <c r="U468" s="1675"/>
      <c r="V468" s="1675"/>
      <c r="W468" s="1675"/>
      <c r="X468" s="1675"/>
      <c r="Y468" s="1675"/>
      <c r="Z468" s="1675"/>
      <c r="AA468" s="1675"/>
    </row>
    <row r="469" spans="1:27" ht="13.5" customHeight="1" x14ac:dyDescent="0.3">
      <c r="A469" s="1675"/>
      <c r="B469" s="1675"/>
      <c r="C469" s="1678"/>
      <c r="D469" s="1771"/>
      <c r="E469" s="1771"/>
      <c r="F469" s="1771"/>
      <c r="G469" s="1689"/>
      <c r="H469" s="1674"/>
      <c r="I469" s="1675"/>
      <c r="J469" s="1675"/>
      <c r="K469" s="1675"/>
      <c r="L469" s="1675"/>
      <c r="M469" s="1676"/>
      <c r="N469" s="1676"/>
      <c r="O469" s="1676"/>
      <c r="P469" s="1675"/>
      <c r="Q469" s="1675"/>
      <c r="R469" s="1675"/>
      <c r="S469" s="1675"/>
      <c r="T469" s="1675"/>
      <c r="U469" s="1675"/>
      <c r="V469" s="1675"/>
      <c r="W469" s="1675"/>
      <c r="X469" s="1675"/>
      <c r="Y469" s="1675"/>
      <c r="Z469" s="1675"/>
      <c r="AA469" s="1675"/>
    </row>
    <row r="470" spans="1:27" ht="13.5" customHeight="1" x14ac:dyDescent="0.3">
      <c r="A470" s="1675"/>
      <c r="B470" s="1675"/>
      <c r="C470" s="1678"/>
      <c r="D470" s="1771"/>
      <c r="E470" s="1771"/>
      <c r="F470" s="1771"/>
      <c r="G470" s="1689"/>
      <c r="H470" s="1674"/>
      <c r="I470" s="1675"/>
      <c r="J470" s="1675"/>
      <c r="K470" s="1675"/>
      <c r="L470" s="1675"/>
      <c r="M470" s="1676"/>
      <c r="N470" s="1676"/>
      <c r="O470" s="1676"/>
      <c r="P470" s="1675"/>
      <c r="Q470" s="1675"/>
      <c r="R470" s="1675"/>
      <c r="S470" s="1675"/>
      <c r="T470" s="1675"/>
      <c r="U470" s="1675"/>
      <c r="V470" s="1675"/>
      <c r="W470" s="1675"/>
      <c r="X470" s="1675"/>
      <c r="Y470" s="1675"/>
      <c r="Z470" s="1675"/>
      <c r="AA470" s="1675"/>
    </row>
    <row r="471" spans="1:27" ht="13.5" customHeight="1" x14ac:dyDescent="0.3">
      <c r="A471" s="1675"/>
      <c r="B471" s="1675"/>
      <c r="C471" s="1678"/>
      <c r="D471" s="1771"/>
      <c r="E471" s="1771"/>
      <c r="F471" s="1771"/>
      <c r="G471" s="1689"/>
      <c r="H471" s="1674"/>
      <c r="I471" s="1675"/>
      <c r="J471" s="1675"/>
      <c r="K471" s="1675"/>
      <c r="L471" s="1675"/>
      <c r="M471" s="1676"/>
      <c r="N471" s="1676"/>
      <c r="O471" s="1676"/>
      <c r="P471" s="1675"/>
      <c r="Q471" s="1675"/>
      <c r="R471" s="1675"/>
      <c r="S471" s="1675"/>
      <c r="T471" s="1675"/>
      <c r="U471" s="1675"/>
      <c r="V471" s="1675"/>
      <c r="W471" s="1675"/>
      <c r="X471" s="1675"/>
      <c r="Y471" s="1675"/>
      <c r="Z471" s="1675"/>
      <c r="AA471" s="1675"/>
    </row>
    <row r="472" spans="1:27" ht="13.5" customHeight="1" x14ac:dyDescent="0.3">
      <c r="A472" s="1675"/>
      <c r="B472" s="1675"/>
      <c r="C472" s="1678"/>
      <c r="D472" s="1771"/>
      <c r="E472" s="1771"/>
      <c r="F472" s="1771"/>
      <c r="G472" s="1689"/>
      <c r="H472" s="1674"/>
      <c r="I472" s="1675"/>
      <c r="J472" s="1675"/>
      <c r="K472" s="1675"/>
      <c r="L472" s="1675"/>
      <c r="M472" s="1676"/>
      <c r="N472" s="1676"/>
      <c r="O472" s="1676"/>
      <c r="P472" s="1675"/>
      <c r="Q472" s="1675"/>
      <c r="R472" s="1675"/>
      <c r="S472" s="1675"/>
      <c r="T472" s="1675"/>
      <c r="U472" s="1675"/>
      <c r="V472" s="1675"/>
      <c r="W472" s="1675"/>
      <c r="X472" s="1675"/>
      <c r="Y472" s="1675"/>
      <c r="Z472" s="1675"/>
      <c r="AA472" s="1675"/>
    </row>
    <row r="473" spans="1:27" ht="13.5" customHeight="1" x14ac:dyDescent="0.3">
      <c r="A473" s="1675"/>
      <c r="B473" s="1675"/>
      <c r="C473" s="1678"/>
      <c r="D473" s="1771"/>
      <c r="E473" s="1771"/>
      <c r="F473" s="1771"/>
      <c r="G473" s="1689"/>
      <c r="H473" s="1674"/>
      <c r="I473" s="1675"/>
      <c r="J473" s="1675"/>
      <c r="K473" s="1675"/>
      <c r="L473" s="1675"/>
      <c r="M473" s="1676"/>
      <c r="N473" s="1676"/>
      <c r="O473" s="1676"/>
      <c r="P473" s="1675"/>
      <c r="Q473" s="1675"/>
      <c r="R473" s="1675"/>
      <c r="S473" s="1675"/>
      <c r="T473" s="1675"/>
      <c r="U473" s="1675"/>
      <c r="V473" s="1675"/>
      <c r="W473" s="1675"/>
      <c r="X473" s="1675"/>
      <c r="Y473" s="1675"/>
      <c r="Z473" s="1675"/>
      <c r="AA473" s="1675"/>
    </row>
    <row r="474" spans="1:27" ht="13.5" customHeight="1" x14ac:dyDescent="0.3">
      <c r="A474" s="1675"/>
      <c r="B474" s="1675"/>
      <c r="C474" s="1678"/>
      <c r="D474" s="1771"/>
      <c r="E474" s="1771"/>
      <c r="F474" s="1771"/>
      <c r="G474" s="1689"/>
      <c r="H474" s="1674"/>
      <c r="I474" s="1675"/>
      <c r="J474" s="1675"/>
      <c r="K474" s="1675"/>
      <c r="L474" s="1675"/>
      <c r="M474" s="1676"/>
      <c r="N474" s="1676"/>
      <c r="O474" s="1676"/>
      <c r="P474" s="1675"/>
      <c r="Q474" s="1675"/>
      <c r="R474" s="1675"/>
      <c r="S474" s="1675"/>
      <c r="T474" s="1675"/>
      <c r="U474" s="1675"/>
      <c r="V474" s="1675"/>
      <c r="W474" s="1675"/>
      <c r="X474" s="1675"/>
      <c r="Y474" s="1675"/>
      <c r="Z474" s="1675"/>
      <c r="AA474" s="1675"/>
    </row>
    <row r="475" spans="1:27" ht="13.5" customHeight="1" x14ac:dyDescent="0.3">
      <c r="A475" s="1675"/>
      <c r="B475" s="1675"/>
      <c r="C475" s="1678"/>
      <c r="D475" s="1771"/>
      <c r="E475" s="1771"/>
      <c r="F475" s="1771"/>
      <c r="G475" s="1689"/>
      <c r="H475" s="1674"/>
      <c r="I475" s="1675"/>
      <c r="J475" s="1675"/>
      <c r="K475" s="1675"/>
      <c r="L475" s="1675"/>
      <c r="M475" s="1676"/>
      <c r="N475" s="1676"/>
      <c r="O475" s="1676"/>
      <c r="P475" s="1675"/>
      <c r="Q475" s="1675"/>
      <c r="R475" s="1675"/>
      <c r="S475" s="1675"/>
      <c r="T475" s="1675"/>
      <c r="U475" s="1675"/>
      <c r="V475" s="1675"/>
      <c r="W475" s="1675"/>
      <c r="X475" s="1675"/>
      <c r="Y475" s="1675"/>
      <c r="Z475" s="1675"/>
      <c r="AA475" s="1675"/>
    </row>
    <row r="476" spans="1:27" ht="13.5" customHeight="1" x14ac:dyDescent="0.3">
      <c r="A476" s="1675"/>
      <c r="B476" s="1675"/>
      <c r="C476" s="1678"/>
      <c r="D476" s="1771"/>
      <c r="E476" s="1771"/>
      <c r="F476" s="1771"/>
      <c r="G476" s="1689"/>
      <c r="H476" s="1674"/>
      <c r="I476" s="1675"/>
      <c r="J476" s="1675"/>
      <c r="K476" s="1675"/>
      <c r="L476" s="1675"/>
      <c r="M476" s="1676"/>
      <c r="N476" s="1676"/>
      <c r="O476" s="1676"/>
      <c r="P476" s="1675"/>
      <c r="Q476" s="1675"/>
      <c r="R476" s="1675"/>
      <c r="S476" s="1675"/>
      <c r="T476" s="1675"/>
      <c r="U476" s="1675"/>
      <c r="V476" s="1675"/>
      <c r="W476" s="1675"/>
      <c r="X476" s="1675"/>
      <c r="Y476" s="1675"/>
      <c r="Z476" s="1675"/>
      <c r="AA476" s="1675"/>
    </row>
    <row r="477" spans="1:27" ht="13.5" customHeight="1" x14ac:dyDescent="0.3">
      <c r="A477" s="1675"/>
      <c r="B477" s="1675"/>
      <c r="C477" s="1678"/>
      <c r="D477" s="1771"/>
      <c r="E477" s="1771"/>
      <c r="F477" s="1771"/>
      <c r="G477" s="1689"/>
      <c r="H477" s="1674"/>
      <c r="I477" s="1675"/>
      <c r="J477" s="1675"/>
      <c r="K477" s="1675"/>
      <c r="L477" s="1675"/>
      <c r="M477" s="1676"/>
      <c r="N477" s="1676"/>
      <c r="O477" s="1676"/>
      <c r="P477" s="1675"/>
      <c r="Q477" s="1675"/>
      <c r="R477" s="1675"/>
      <c r="S477" s="1675"/>
      <c r="T477" s="1675"/>
      <c r="U477" s="1675"/>
      <c r="V477" s="1675"/>
      <c r="W477" s="1675"/>
      <c r="X477" s="1675"/>
      <c r="Y477" s="1675"/>
      <c r="Z477" s="1675"/>
      <c r="AA477" s="1675"/>
    </row>
    <row r="478" spans="1:27" ht="13.5" customHeight="1" x14ac:dyDescent="0.3">
      <c r="A478" s="1675"/>
      <c r="B478" s="1675"/>
      <c r="C478" s="1678"/>
      <c r="D478" s="1771"/>
      <c r="E478" s="1771"/>
      <c r="F478" s="1771"/>
      <c r="G478" s="1689"/>
      <c r="H478" s="1674"/>
      <c r="I478" s="1675"/>
      <c r="J478" s="1675"/>
      <c r="K478" s="1675"/>
      <c r="L478" s="1675"/>
      <c r="M478" s="1676"/>
      <c r="N478" s="1676"/>
      <c r="O478" s="1676"/>
      <c r="P478" s="1675"/>
      <c r="Q478" s="1675"/>
      <c r="R478" s="1675"/>
      <c r="S478" s="1675"/>
      <c r="T478" s="1675"/>
      <c r="U478" s="1675"/>
      <c r="V478" s="1675"/>
      <c r="W478" s="1675"/>
      <c r="X478" s="1675"/>
      <c r="Y478" s="1675"/>
      <c r="Z478" s="1675"/>
      <c r="AA478" s="1675"/>
    </row>
    <row r="479" spans="1:27" ht="13.5" customHeight="1" x14ac:dyDescent="0.3">
      <c r="A479" s="1675"/>
      <c r="B479" s="1675"/>
      <c r="C479" s="1678"/>
      <c r="D479" s="1771"/>
      <c r="E479" s="1771"/>
      <c r="F479" s="1771"/>
      <c r="G479" s="1689"/>
      <c r="H479" s="1674"/>
      <c r="I479" s="1675"/>
      <c r="J479" s="1675"/>
      <c r="K479" s="1675"/>
      <c r="L479" s="1675"/>
      <c r="M479" s="1676"/>
      <c r="N479" s="1676"/>
      <c r="O479" s="1676"/>
      <c r="P479" s="1675"/>
      <c r="Q479" s="1675"/>
      <c r="R479" s="1675"/>
      <c r="S479" s="1675"/>
      <c r="T479" s="1675"/>
      <c r="U479" s="1675"/>
      <c r="V479" s="1675"/>
      <c r="W479" s="1675"/>
      <c r="X479" s="1675"/>
      <c r="Y479" s="1675"/>
      <c r="Z479" s="1675"/>
      <c r="AA479" s="1675"/>
    </row>
    <row r="480" spans="1:27" ht="13.5" customHeight="1" x14ac:dyDescent="0.3">
      <c r="A480" s="1675"/>
      <c r="B480" s="1675"/>
      <c r="C480" s="1678"/>
      <c r="D480" s="1771"/>
      <c r="E480" s="1771"/>
      <c r="F480" s="1771"/>
      <c r="G480" s="1689"/>
      <c r="H480" s="1674"/>
      <c r="I480" s="1675"/>
      <c r="J480" s="1675"/>
      <c r="K480" s="1675"/>
      <c r="L480" s="1675"/>
      <c r="M480" s="1676"/>
      <c r="N480" s="1676"/>
      <c r="O480" s="1676"/>
      <c r="P480" s="1675"/>
      <c r="Q480" s="1675"/>
      <c r="R480" s="1675"/>
      <c r="S480" s="1675"/>
      <c r="T480" s="1675"/>
      <c r="U480" s="1675"/>
      <c r="V480" s="1675"/>
      <c r="W480" s="1675"/>
      <c r="X480" s="1675"/>
      <c r="Y480" s="1675"/>
      <c r="Z480" s="1675"/>
      <c r="AA480" s="1675"/>
    </row>
    <row r="481" spans="1:27" ht="13.5" customHeight="1" x14ac:dyDescent="0.3">
      <c r="A481" s="1675"/>
      <c r="B481" s="1675"/>
      <c r="C481" s="1678"/>
      <c r="D481" s="1771"/>
      <c r="E481" s="1771"/>
      <c r="F481" s="1771"/>
      <c r="G481" s="1689"/>
      <c r="H481" s="1674"/>
      <c r="I481" s="1675"/>
      <c r="J481" s="1675"/>
      <c r="K481" s="1675"/>
      <c r="L481" s="1675"/>
      <c r="M481" s="1676"/>
      <c r="N481" s="1676"/>
      <c r="O481" s="1676"/>
      <c r="P481" s="1675"/>
      <c r="Q481" s="1675"/>
      <c r="R481" s="1675"/>
      <c r="S481" s="1675"/>
      <c r="T481" s="1675"/>
      <c r="U481" s="1675"/>
      <c r="V481" s="1675"/>
      <c r="W481" s="1675"/>
      <c r="X481" s="1675"/>
      <c r="Y481" s="1675"/>
      <c r="Z481" s="1675"/>
      <c r="AA481" s="1675"/>
    </row>
    <row r="482" spans="1:27" ht="13.5" customHeight="1" x14ac:dyDescent="0.3">
      <c r="A482" s="1675"/>
      <c r="B482" s="1675"/>
      <c r="C482" s="1678"/>
      <c r="D482" s="1771"/>
      <c r="E482" s="1771"/>
      <c r="F482" s="1771"/>
      <c r="G482" s="1689"/>
      <c r="H482" s="1674"/>
      <c r="I482" s="1675"/>
      <c r="J482" s="1675"/>
      <c r="K482" s="1675"/>
      <c r="L482" s="1675"/>
      <c r="M482" s="1676"/>
      <c r="N482" s="1676"/>
      <c r="O482" s="1676"/>
      <c r="P482" s="1675"/>
      <c r="Q482" s="1675"/>
      <c r="R482" s="1675"/>
      <c r="S482" s="1675"/>
      <c r="T482" s="1675"/>
      <c r="U482" s="1675"/>
      <c r="V482" s="1675"/>
      <c r="W482" s="1675"/>
      <c r="X482" s="1675"/>
      <c r="Y482" s="1675"/>
      <c r="Z482" s="1675"/>
      <c r="AA482" s="1675"/>
    </row>
    <row r="483" spans="1:27" ht="13.5" customHeight="1" x14ac:dyDescent="0.3">
      <c r="A483" s="1675"/>
      <c r="B483" s="1675"/>
      <c r="C483" s="1678"/>
      <c r="D483" s="1771"/>
      <c r="E483" s="1771"/>
      <c r="F483" s="1771"/>
      <c r="G483" s="1689"/>
      <c r="H483" s="1674"/>
      <c r="I483" s="1675"/>
      <c r="J483" s="1675"/>
      <c r="K483" s="1675"/>
      <c r="L483" s="1675"/>
      <c r="M483" s="1676"/>
      <c r="N483" s="1676"/>
      <c r="O483" s="1676"/>
      <c r="P483" s="1675"/>
      <c r="Q483" s="1675"/>
      <c r="R483" s="1675"/>
      <c r="S483" s="1675"/>
      <c r="T483" s="1675"/>
      <c r="U483" s="1675"/>
      <c r="V483" s="1675"/>
      <c r="W483" s="1675"/>
      <c r="X483" s="1675"/>
      <c r="Y483" s="1675"/>
      <c r="Z483" s="1675"/>
      <c r="AA483" s="1675"/>
    </row>
    <row r="484" spans="1:27" ht="13.5" customHeight="1" x14ac:dyDescent="0.3">
      <c r="A484" s="1675"/>
      <c r="B484" s="1675"/>
      <c r="C484" s="1678"/>
      <c r="D484" s="1771"/>
      <c r="E484" s="1771"/>
      <c r="F484" s="1771"/>
      <c r="G484" s="1689"/>
      <c r="H484" s="1674"/>
      <c r="I484" s="1675"/>
      <c r="J484" s="1675"/>
      <c r="K484" s="1675"/>
      <c r="L484" s="1675"/>
      <c r="M484" s="1676"/>
      <c r="N484" s="1676"/>
      <c r="O484" s="1676"/>
      <c r="P484" s="1675"/>
      <c r="Q484" s="1675"/>
      <c r="R484" s="1675"/>
      <c r="S484" s="1675"/>
      <c r="T484" s="1675"/>
      <c r="U484" s="1675"/>
      <c r="V484" s="1675"/>
      <c r="W484" s="1675"/>
      <c r="X484" s="1675"/>
      <c r="Y484" s="1675"/>
      <c r="Z484" s="1675"/>
      <c r="AA484" s="1675"/>
    </row>
    <row r="485" spans="1:27" ht="13.5" customHeight="1" x14ac:dyDescent="0.3">
      <c r="A485" s="1675"/>
      <c r="B485" s="1675"/>
      <c r="C485" s="1678"/>
      <c r="D485" s="1771"/>
      <c r="E485" s="1771"/>
      <c r="F485" s="1771"/>
      <c r="G485" s="1689"/>
      <c r="H485" s="1674"/>
      <c r="I485" s="1675"/>
      <c r="J485" s="1675"/>
      <c r="K485" s="1675"/>
      <c r="L485" s="1675"/>
      <c r="M485" s="1676"/>
      <c r="N485" s="1676"/>
      <c r="O485" s="1676"/>
      <c r="P485" s="1675"/>
      <c r="Q485" s="1675"/>
      <c r="R485" s="1675"/>
      <c r="S485" s="1675"/>
      <c r="T485" s="1675"/>
      <c r="U485" s="1675"/>
      <c r="V485" s="1675"/>
      <c r="W485" s="1675"/>
      <c r="X485" s="1675"/>
      <c r="Y485" s="1675"/>
      <c r="Z485" s="1675"/>
      <c r="AA485" s="1675"/>
    </row>
    <row r="486" spans="1:27" ht="13.5" customHeight="1" x14ac:dyDescent="0.3">
      <c r="A486" s="1675"/>
      <c r="B486" s="1675"/>
      <c r="C486" s="1678"/>
      <c r="D486" s="1771"/>
      <c r="E486" s="1771"/>
      <c r="F486" s="1771"/>
      <c r="G486" s="1689"/>
      <c r="H486" s="1674"/>
      <c r="I486" s="1675"/>
      <c r="J486" s="1675"/>
      <c r="K486" s="1675"/>
      <c r="L486" s="1675"/>
      <c r="M486" s="1676"/>
      <c r="N486" s="1676"/>
      <c r="O486" s="1676"/>
      <c r="P486" s="1675"/>
      <c r="Q486" s="1675"/>
      <c r="R486" s="1675"/>
      <c r="S486" s="1675"/>
      <c r="T486" s="1675"/>
      <c r="U486" s="1675"/>
      <c r="V486" s="1675"/>
      <c r="W486" s="1675"/>
      <c r="X486" s="1675"/>
      <c r="Y486" s="1675"/>
      <c r="Z486" s="1675"/>
      <c r="AA486" s="1675"/>
    </row>
    <row r="487" spans="1:27" ht="13.5" customHeight="1" x14ac:dyDescent="0.3">
      <c r="A487" s="1675"/>
      <c r="B487" s="1675"/>
      <c r="C487" s="1678"/>
      <c r="D487" s="1771"/>
      <c r="E487" s="1771"/>
      <c r="F487" s="1771"/>
      <c r="G487" s="1689"/>
      <c r="H487" s="1674"/>
      <c r="I487" s="1675"/>
      <c r="J487" s="1675"/>
      <c r="K487" s="1675"/>
      <c r="L487" s="1675"/>
      <c r="M487" s="1676"/>
      <c r="N487" s="1676"/>
      <c r="O487" s="1676"/>
      <c r="P487" s="1675"/>
      <c r="Q487" s="1675"/>
      <c r="R487" s="1675"/>
      <c r="S487" s="1675"/>
      <c r="T487" s="1675"/>
      <c r="U487" s="1675"/>
      <c r="V487" s="1675"/>
      <c r="W487" s="1675"/>
      <c r="X487" s="1675"/>
      <c r="Y487" s="1675"/>
      <c r="Z487" s="1675"/>
      <c r="AA487" s="1675"/>
    </row>
    <row r="488" spans="1:27" ht="13.5" customHeight="1" x14ac:dyDescent="0.3">
      <c r="A488" s="1675"/>
      <c r="B488" s="1675"/>
      <c r="C488" s="1678"/>
      <c r="D488" s="1771"/>
      <c r="E488" s="1771"/>
      <c r="F488" s="1771"/>
      <c r="G488" s="1689"/>
      <c r="H488" s="1674"/>
      <c r="I488" s="1675"/>
      <c r="J488" s="1675"/>
      <c r="K488" s="1675"/>
      <c r="L488" s="1675"/>
      <c r="M488" s="1676"/>
      <c r="N488" s="1676"/>
      <c r="O488" s="1676"/>
      <c r="P488" s="1675"/>
      <c r="Q488" s="1675"/>
      <c r="R488" s="1675"/>
      <c r="S488" s="1675"/>
      <c r="T488" s="1675"/>
      <c r="U488" s="1675"/>
      <c r="V488" s="1675"/>
      <c r="W488" s="1675"/>
      <c r="X488" s="1675"/>
      <c r="Y488" s="1675"/>
      <c r="Z488" s="1675"/>
      <c r="AA488" s="1675"/>
    </row>
    <row r="489" spans="1:27" ht="13.5" customHeight="1" x14ac:dyDescent="0.3">
      <c r="A489" s="1675"/>
      <c r="B489" s="1675"/>
      <c r="C489" s="1678"/>
      <c r="D489" s="1771"/>
      <c r="E489" s="1771"/>
      <c r="F489" s="1771"/>
      <c r="G489" s="1689"/>
      <c r="H489" s="1674"/>
      <c r="I489" s="1675"/>
      <c r="J489" s="1675"/>
      <c r="K489" s="1675"/>
      <c r="L489" s="1675"/>
      <c r="M489" s="1676"/>
      <c r="N489" s="1676"/>
      <c r="O489" s="1676"/>
      <c r="P489" s="1675"/>
      <c r="Q489" s="1675"/>
      <c r="R489" s="1675"/>
      <c r="S489" s="1675"/>
      <c r="T489" s="1675"/>
      <c r="U489" s="1675"/>
      <c r="V489" s="1675"/>
      <c r="W489" s="1675"/>
      <c r="X489" s="1675"/>
      <c r="Y489" s="1675"/>
      <c r="Z489" s="1675"/>
      <c r="AA489" s="1675"/>
    </row>
    <row r="490" spans="1:27" ht="13.5" customHeight="1" x14ac:dyDescent="0.3">
      <c r="A490" s="1675"/>
      <c r="B490" s="1675"/>
      <c r="C490" s="1678"/>
      <c r="D490" s="1771"/>
      <c r="E490" s="1771"/>
      <c r="F490" s="1771"/>
      <c r="G490" s="1689"/>
      <c r="H490" s="1674"/>
      <c r="I490" s="1675"/>
      <c r="J490" s="1675"/>
      <c r="K490" s="1675"/>
      <c r="L490" s="1675"/>
      <c r="M490" s="1676"/>
      <c r="N490" s="1676"/>
      <c r="O490" s="1676"/>
      <c r="P490" s="1675"/>
      <c r="Q490" s="1675"/>
      <c r="R490" s="1675"/>
      <c r="S490" s="1675"/>
      <c r="T490" s="1675"/>
      <c r="U490" s="1675"/>
      <c r="V490" s="1675"/>
      <c r="W490" s="1675"/>
      <c r="X490" s="1675"/>
      <c r="Y490" s="1675"/>
      <c r="Z490" s="1675"/>
      <c r="AA490" s="1675"/>
    </row>
    <row r="491" spans="1:27" ht="13.5" customHeight="1" x14ac:dyDescent="0.3">
      <c r="A491" s="1675"/>
      <c r="B491" s="1675"/>
      <c r="C491" s="1678"/>
      <c r="D491" s="1771"/>
      <c r="E491" s="1771"/>
      <c r="F491" s="1771"/>
      <c r="G491" s="1689"/>
      <c r="H491" s="1674"/>
      <c r="I491" s="1675"/>
      <c r="J491" s="1675"/>
      <c r="K491" s="1675"/>
      <c r="L491" s="1675"/>
      <c r="M491" s="1676"/>
      <c r="N491" s="1676"/>
      <c r="O491" s="1676"/>
      <c r="P491" s="1675"/>
      <c r="Q491" s="1675"/>
      <c r="R491" s="1675"/>
      <c r="S491" s="1675"/>
      <c r="T491" s="1675"/>
      <c r="U491" s="1675"/>
      <c r="V491" s="1675"/>
      <c r="W491" s="1675"/>
      <c r="X491" s="1675"/>
      <c r="Y491" s="1675"/>
      <c r="Z491" s="1675"/>
      <c r="AA491" s="1675"/>
    </row>
    <row r="492" spans="1:27" ht="13.5" customHeight="1" x14ac:dyDescent="0.3">
      <c r="A492" s="1675"/>
      <c r="B492" s="1675"/>
      <c r="C492" s="1678"/>
      <c r="D492" s="1771"/>
      <c r="E492" s="1771"/>
      <c r="F492" s="1771"/>
      <c r="G492" s="1689"/>
      <c r="H492" s="1674"/>
      <c r="I492" s="1675"/>
      <c r="J492" s="1675"/>
      <c r="K492" s="1675"/>
      <c r="L492" s="1675"/>
      <c r="M492" s="1676"/>
      <c r="N492" s="1676"/>
      <c r="O492" s="1676"/>
      <c r="P492" s="1675"/>
      <c r="Q492" s="1675"/>
      <c r="R492" s="1675"/>
      <c r="S492" s="1675"/>
      <c r="T492" s="1675"/>
      <c r="U492" s="1675"/>
      <c r="V492" s="1675"/>
      <c r="W492" s="1675"/>
      <c r="X492" s="1675"/>
      <c r="Y492" s="1675"/>
      <c r="Z492" s="1675"/>
      <c r="AA492" s="1675"/>
    </row>
    <row r="493" spans="1:27" ht="13.5" customHeight="1" x14ac:dyDescent="0.3">
      <c r="A493" s="1675"/>
      <c r="B493" s="1675"/>
      <c r="C493" s="1678"/>
      <c r="D493" s="1771"/>
      <c r="E493" s="1771"/>
      <c r="F493" s="1771"/>
      <c r="G493" s="1689"/>
      <c r="H493" s="1674"/>
      <c r="I493" s="1675"/>
      <c r="J493" s="1675"/>
      <c r="K493" s="1675"/>
      <c r="L493" s="1675"/>
      <c r="M493" s="1676"/>
      <c r="N493" s="1676"/>
      <c r="O493" s="1676"/>
      <c r="P493" s="1675"/>
      <c r="Q493" s="1675"/>
      <c r="R493" s="1675"/>
      <c r="S493" s="1675"/>
      <c r="T493" s="1675"/>
      <c r="U493" s="1675"/>
      <c r="V493" s="1675"/>
      <c r="W493" s="1675"/>
      <c r="X493" s="1675"/>
      <c r="Y493" s="1675"/>
      <c r="Z493" s="1675"/>
      <c r="AA493" s="1675"/>
    </row>
    <row r="494" spans="1:27" ht="13.5" customHeight="1" x14ac:dyDescent="0.3">
      <c r="A494" s="1675"/>
      <c r="B494" s="1675"/>
      <c r="C494" s="1678"/>
      <c r="D494" s="1771"/>
      <c r="E494" s="1771"/>
      <c r="F494" s="1771"/>
      <c r="G494" s="1689"/>
      <c r="H494" s="1674"/>
      <c r="I494" s="1675"/>
      <c r="J494" s="1675"/>
      <c r="K494" s="1675"/>
      <c r="L494" s="1675"/>
      <c r="M494" s="1676"/>
      <c r="N494" s="1676"/>
      <c r="O494" s="1676"/>
      <c r="P494" s="1675"/>
      <c r="Q494" s="1675"/>
      <c r="R494" s="1675"/>
      <c r="S494" s="1675"/>
      <c r="T494" s="1675"/>
      <c r="U494" s="1675"/>
      <c r="V494" s="1675"/>
      <c r="W494" s="1675"/>
      <c r="X494" s="1675"/>
      <c r="Y494" s="1675"/>
      <c r="Z494" s="1675"/>
      <c r="AA494" s="1675"/>
    </row>
    <row r="495" spans="1:27" ht="13.5" customHeight="1" x14ac:dyDescent="0.3">
      <c r="A495" s="1675"/>
      <c r="B495" s="1675"/>
      <c r="C495" s="1678"/>
      <c r="D495" s="1771"/>
      <c r="E495" s="1771"/>
      <c r="F495" s="1771"/>
      <c r="G495" s="1689"/>
      <c r="H495" s="1674"/>
      <c r="I495" s="1675"/>
      <c r="J495" s="1675"/>
      <c r="K495" s="1675"/>
      <c r="L495" s="1675"/>
      <c r="M495" s="1676"/>
      <c r="N495" s="1676"/>
      <c r="O495" s="1676"/>
      <c r="P495" s="1675"/>
      <c r="Q495" s="1675"/>
      <c r="R495" s="1675"/>
      <c r="S495" s="1675"/>
      <c r="T495" s="1675"/>
      <c r="U495" s="1675"/>
      <c r="V495" s="1675"/>
      <c r="W495" s="1675"/>
      <c r="X495" s="1675"/>
      <c r="Y495" s="1675"/>
      <c r="Z495" s="1675"/>
      <c r="AA495" s="1675"/>
    </row>
    <row r="496" spans="1:27" ht="13.5" customHeight="1" x14ac:dyDescent="0.3">
      <c r="A496" s="1675"/>
      <c r="B496" s="1675"/>
      <c r="C496" s="1678"/>
      <c r="D496" s="1771"/>
      <c r="E496" s="1771"/>
      <c r="F496" s="1771"/>
      <c r="G496" s="1689"/>
      <c r="H496" s="1674"/>
      <c r="I496" s="1675"/>
      <c r="J496" s="1675"/>
      <c r="K496" s="1675"/>
      <c r="L496" s="1675"/>
      <c r="M496" s="1676"/>
      <c r="N496" s="1676"/>
      <c r="O496" s="1676"/>
      <c r="P496" s="1675"/>
      <c r="Q496" s="1675"/>
      <c r="R496" s="1675"/>
      <c r="S496" s="1675"/>
      <c r="T496" s="1675"/>
      <c r="U496" s="1675"/>
      <c r="V496" s="1675"/>
      <c r="W496" s="1675"/>
      <c r="X496" s="1675"/>
      <c r="Y496" s="1675"/>
      <c r="Z496" s="1675"/>
      <c r="AA496" s="1675"/>
    </row>
    <row r="497" spans="1:27" ht="13.5" customHeight="1" x14ac:dyDescent="0.3">
      <c r="A497" s="1675"/>
      <c r="B497" s="1675"/>
      <c r="C497" s="1678"/>
      <c r="D497" s="1771"/>
      <c r="E497" s="1771"/>
      <c r="F497" s="1771"/>
      <c r="G497" s="1689"/>
      <c r="H497" s="1674"/>
      <c r="I497" s="1675"/>
      <c r="J497" s="1675"/>
      <c r="K497" s="1675"/>
      <c r="L497" s="1675"/>
      <c r="M497" s="1676"/>
      <c r="N497" s="1676"/>
      <c r="O497" s="1676"/>
      <c r="P497" s="1675"/>
      <c r="Q497" s="1675"/>
      <c r="R497" s="1675"/>
      <c r="S497" s="1675"/>
      <c r="T497" s="1675"/>
      <c r="U497" s="1675"/>
      <c r="V497" s="1675"/>
      <c r="W497" s="1675"/>
      <c r="X497" s="1675"/>
      <c r="Y497" s="1675"/>
      <c r="Z497" s="1675"/>
      <c r="AA497" s="1675"/>
    </row>
    <row r="498" spans="1:27" ht="13.5" customHeight="1" x14ac:dyDescent="0.3">
      <c r="A498" s="1675"/>
      <c r="B498" s="1675"/>
      <c r="C498" s="1678"/>
      <c r="D498" s="1771"/>
      <c r="E498" s="1771"/>
      <c r="F498" s="1771"/>
      <c r="G498" s="1689"/>
      <c r="H498" s="1674"/>
      <c r="I498" s="1675"/>
      <c r="J498" s="1675"/>
      <c r="K498" s="1675"/>
      <c r="L498" s="1675"/>
      <c r="M498" s="1676"/>
      <c r="N498" s="1676"/>
      <c r="O498" s="1676"/>
      <c r="P498" s="1675"/>
      <c r="Q498" s="1675"/>
      <c r="R498" s="1675"/>
      <c r="S498" s="1675"/>
      <c r="T498" s="1675"/>
      <c r="U498" s="1675"/>
      <c r="V498" s="1675"/>
      <c r="W498" s="1675"/>
      <c r="X498" s="1675"/>
      <c r="Y498" s="1675"/>
      <c r="Z498" s="1675"/>
      <c r="AA498" s="1675"/>
    </row>
    <row r="499" spans="1:27" ht="13.5" customHeight="1" x14ac:dyDescent="0.3">
      <c r="A499" s="1675"/>
      <c r="B499" s="1675"/>
      <c r="C499" s="1678"/>
      <c r="D499" s="1771"/>
      <c r="E499" s="1771"/>
      <c r="F499" s="1771"/>
      <c r="G499" s="1689"/>
      <c r="H499" s="1674"/>
      <c r="I499" s="1675"/>
      <c r="J499" s="1675"/>
      <c r="K499" s="1675"/>
      <c r="L499" s="1675"/>
      <c r="M499" s="1676"/>
      <c r="N499" s="1676"/>
      <c r="O499" s="1676"/>
      <c r="P499" s="1675"/>
      <c r="Q499" s="1675"/>
      <c r="R499" s="1675"/>
      <c r="S499" s="1675"/>
      <c r="T499" s="1675"/>
      <c r="U499" s="1675"/>
      <c r="V499" s="1675"/>
      <c r="W499" s="1675"/>
      <c r="X499" s="1675"/>
      <c r="Y499" s="1675"/>
      <c r="Z499" s="1675"/>
      <c r="AA499" s="1675"/>
    </row>
    <row r="500" spans="1:27" ht="13.5" customHeight="1" x14ac:dyDescent="0.3">
      <c r="A500" s="1675"/>
      <c r="B500" s="1675"/>
      <c r="C500" s="1678"/>
      <c r="D500" s="1771"/>
      <c r="E500" s="1771"/>
      <c r="F500" s="1771"/>
      <c r="G500" s="1689"/>
      <c r="H500" s="1674"/>
      <c r="I500" s="1675"/>
      <c r="J500" s="1675"/>
      <c r="K500" s="1675"/>
      <c r="L500" s="1675"/>
      <c r="M500" s="1676"/>
      <c r="N500" s="1676"/>
      <c r="O500" s="1676"/>
      <c r="P500" s="1675"/>
      <c r="Q500" s="1675"/>
      <c r="R500" s="1675"/>
      <c r="S500" s="1675"/>
      <c r="T500" s="1675"/>
      <c r="U500" s="1675"/>
      <c r="V500" s="1675"/>
      <c r="W500" s="1675"/>
      <c r="X500" s="1675"/>
      <c r="Y500" s="1675"/>
      <c r="Z500" s="1675"/>
      <c r="AA500" s="1675"/>
    </row>
    <row r="501" spans="1:27" ht="13.5" customHeight="1" x14ac:dyDescent="0.3">
      <c r="A501" s="1675"/>
      <c r="B501" s="1675"/>
      <c r="C501" s="1678"/>
      <c r="D501" s="1771"/>
      <c r="E501" s="1771"/>
      <c r="F501" s="1771"/>
      <c r="G501" s="1689"/>
      <c r="H501" s="1674"/>
      <c r="I501" s="1675"/>
      <c r="J501" s="1675"/>
      <c r="K501" s="1675"/>
      <c r="L501" s="1675"/>
      <c r="M501" s="1676"/>
      <c r="N501" s="1676"/>
      <c r="O501" s="1676"/>
      <c r="P501" s="1675"/>
      <c r="Q501" s="1675"/>
      <c r="R501" s="1675"/>
      <c r="S501" s="1675"/>
      <c r="T501" s="1675"/>
      <c r="U501" s="1675"/>
      <c r="V501" s="1675"/>
      <c r="W501" s="1675"/>
      <c r="X501" s="1675"/>
      <c r="Y501" s="1675"/>
      <c r="Z501" s="1675"/>
      <c r="AA501" s="1675"/>
    </row>
    <row r="502" spans="1:27" ht="13.5" customHeight="1" x14ac:dyDescent="0.3">
      <c r="A502" s="1675"/>
      <c r="B502" s="1675"/>
      <c r="C502" s="1678"/>
      <c r="D502" s="1771"/>
      <c r="E502" s="1771"/>
      <c r="F502" s="1771"/>
      <c r="G502" s="1689"/>
      <c r="H502" s="1674"/>
      <c r="I502" s="1675"/>
      <c r="J502" s="1675"/>
      <c r="K502" s="1675"/>
      <c r="L502" s="1675"/>
      <c r="M502" s="1676"/>
      <c r="N502" s="1676"/>
      <c r="O502" s="1676"/>
      <c r="P502" s="1675"/>
      <c r="Q502" s="1675"/>
      <c r="R502" s="1675"/>
      <c r="S502" s="1675"/>
      <c r="T502" s="1675"/>
      <c r="U502" s="1675"/>
      <c r="V502" s="1675"/>
      <c r="W502" s="1675"/>
      <c r="X502" s="1675"/>
      <c r="Y502" s="1675"/>
      <c r="Z502" s="1675"/>
      <c r="AA502" s="1675"/>
    </row>
    <row r="503" spans="1:27" ht="13.5" customHeight="1" x14ac:dyDescent="0.3">
      <c r="A503" s="1675"/>
      <c r="B503" s="1675"/>
      <c r="C503" s="1678"/>
      <c r="D503" s="1771"/>
      <c r="E503" s="1771"/>
      <c r="F503" s="1771"/>
      <c r="G503" s="1689"/>
      <c r="H503" s="1674"/>
      <c r="I503" s="1675"/>
      <c r="J503" s="1675"/>
      <c r="K503" s="1675"/>
      <c r="L503" s="1675"/>
      <c r="M503" s="1676"/>
      <c r="N503" s="1676"/>
      <c r="O503" s="1676"/>
      <c r="P503" s="1675"/>
      <c r="Q503" s="1675"/>
      <c r="R503" s="1675"/>
      <c r="S503" s="1675"/>
      <c r="T503" s="1675"/>
      <c r="U503" s="1675"/>
      <c r="V503" s="1675"/>
      <c r="W503" s="1675"/>
      <c r="X503" s="1675"/>
      <c r="Y503" s="1675"/>
      <c r="Z503" s="1675"/>
      <c r="AA503" s="1675"/>
    </row>
    <row r="504" spans="1:27" ht="13.5" customHeight="1" x14ac:dyDescent="0.3">
      <c r="A504" s="1675"/>
      <c r="B504" s="1675"/>
      <c r="C504" s="1678"/>
      <c r="D504" s="1771"/>
      <c r="E504" s="1771"/>
      <c r="F504" s="1771"/>
      <c r="G504" s="1689"/>
      <c r="H504" s="1674"/>
      <c r="I504" s="1675"/>
      <c r="J504" s="1675"/>
      <c r="K504" s="1675"/>
      <c r="L504" s="1675"/>
      <c r="M504" s="1676"/>
      <c r="N504" s="1676"/>
      <c r="O504" s="1676"/>
      <c r="P504" s="1675"/>
      <c r="Q504" s="1675"/>
      <c r="R504" s="1675"/>
      <c r="S504" s="1675"/>
      <c r="T504" s="1675"/>
      <c r="U504" s="1675"/>
      <c r="V504" s="1675"/>
      <c r="W504" s="1675"/>
      <c r="X504" s="1675"/>
      <c r="Y504" s="1675"/>
      <c r="Z504" s="1675"/>
      <c r="AA504" s="1675"/>
    </row>
    <row r="505" spans="1:27" ht="13.5" customHeight="1" x14ac:dyDescent="0.3">
      <c r="A505" s="1675"/>
      <c r="B505" s="1675"/>
      <c r="C505" s="1678"/>
      <c r="D505" s="1771"/>
      <c r="E505" s="1771"/>
      <c r="F505" s="1771"/>
      <c r="G505" s="1689"/>
      <c r="H505" s="1674"/>
      <c r="I505" s="1675"/>
      <c r="J505" s="1675"/>
      <c r="K505" s="1675"/>
      <c r="L505" s="1675"/>
      <c r="M505" s="1676"/>
      <c r="N505" s="1676"/>
      <c r="O505" s="1676"/>
      <c r="P505" s="1675"/>
      <c r="Q505" s="1675"/>
      <c r="R505" s="1675"/>
      <c r="S505" s="1675"/>
      <c r="T505" s="1675"/>
      <c r="U505" s="1675"/>
      <c r="V505" s="1675"/>
      <c r="W505" s="1675"/>
      <c r="X505" s="1675"/>
      <c r="Y505" s="1675"/>
      <c r="Z505" s="1675"/>
      <c r="AA505" s="1675"/>
    </row>
    <row r="506" spans="1:27" ht="13.5" customHeight="1" x14ac:dyDescent="0.3">
      <c r="A506" s="1675"/>
      <c r="B506" s="1675"/>
      <c r="C506" s="1678"/>
      <c r="D506" s="1771"/>
      <c r="E506" s="1771"/>
      <c r="F506" s="1771"/>
      <c r="G506" s="1689"/>
      <c r="H506" s="1674"/>
      <c r="I506" s="1675"/>
      <c r="J506" s="1675"/>
      <c r="K506" s="1675"/>
      <c r="L506" s="1675"/>
      <c r="M506" s="1676"/>
      <c r="N506" s="1676"/>
      <c r="O506" s="1676"/>
      <c r="P506" s="1675"/>
      <c r="Q506" s="1675"/>
      <c r="R506" s="1675"/>
      <c r="S506" s="1675"/>
      <c r="T506" s="1675"/>
      <c r="U506" s="1675"/>
      <c r="V506" s="1675"/>
      <c r="W506" s="1675"/>
      <c r="X506" s="1675"/>
      <c r="Y506" s="1675"/>
      <c r="Z506" s="1675"/>
      <c r="AA506" s="1675"/>
    </row>
    <row r="507" spans="1:27" ht="13.5" customHeight="1" x14ac:dyDescent="0.3">
      <c r="A507" s="1675"/>
      <c r="B507" s="1675"/>
      <c r="C507" s="1678"/>
      <c r="D507" s="1771"/>
      <c r="E507" s="1771"/>
      <c r="F507" s="1771"/>
      <c r="G507" s="1689"/>
      <c r="H507" s="1674"/>
      <c r="I507" s="1675"/>
      <c r="J507" s="1675"/>
      <c r="K507" s="1675"/>
      <c r="L507" s="1675"/>
      <c r="M507" s="1676"/>
      <c r="N507" s="1676"/>
      <c r="O507" s="1676"/>
      <c r="P507" s="1675"/>
      <c r="Q507" s="1675"/>
      <c r="R507" s="1675"/>
      <c r="S507" s="1675"/>
      <c r="T507" s="1675"/>
      <c r="U507" s="1675"/>
      <c r="V507" s="1675"/>
      <c r="W507" s="1675"/>
      <c r="X507" s="1675"/>
      <c r="Y507" s="1675"/>
      <c r="Z507" s="1675"/>
      <c r="AA507" s="1675"/>
    </row>
    <row r="508" spans="1:27" ht="13.5" customHeight="1" x14ac:dyDescent="0.3">
      <c r="A508" s="1675"/>
      <c r="B508" s="1675"/>
      <c r="C508" s="1678"/>
      <c r="D508" s="1771"/>
      <c r="E508" s="1771"/>
      <c r="F508" s="1771"/>
      <c r="G508" s="1689"/>
      <c r="H508" s="1674"/>
      <c r="I508" s="1675"/>
      <c r="J508" s="1675"/>
      <c r="K508" s="1675"/>
      <c r="L508" s="1675"/>
      <c r="M508" s="1676"/>
      <c r="N508" s="1676"/>
      <c r="O508" s="1676"/>
      <c r="P508" s="1675"/>
      <c r="Q508" s="1675"/>
      <c r="R508" s="1675"/>
      <c r="S508" s="1675"/>
      <c r="T508" s="1675"/>
      <c r="U508" s="1675"/>
      <c r="V508" s="1675"/>
      <c r="W508" s="1675"/>
      <c r="X508" s="1675"/>
      <c r="Y508" s="1675"/>
      <c r="Z508" s="1675"/>
      <c r="AA508" s="1675"/>
    </row>
    <row r="509" spans="1:27" ht="13.5" customHeight="1" x14ac:dyDescent="0.3">
      <c r="A509" s="1675"/>
      <c r="B509" s="1675"/>
      <c r="C509" s="1678"/>
      <c r="D509" s="1771"/>
      <c r="E509" s="1771"/>
      <c r="F509" s="1771"/>
      <c r="G509" s="1689"/>
      <c r="H509" s="1674"/>
      <c r="I509" s="1675"/>
      <c r="J509" s="1675"/>
      <c r="K509" s="1675"/>
      <c r="L509" s="1675"/>
      <c r="M509" s="1676"/>
      <c r="N509" s="1676"/>
      <c r="O509" s="1676"/>
      <c r="P509" s="1675"/>
      <c r="Q509" s="1675"/>
      <c r="R509" s="1675"/>
      <c r="S509" s="1675"/>
      <c r="T509" s="1675"/>
      <c r="U509" s="1675"/>
      <c r="V509" s="1675"/>
      <c r="W509" s="1675"/>
      <c r="X509" s="1675"/>
      <c r="Y509" s="1675"/>
      <c r="Z509" s="1675"/>
      <c r="AA509" s="1675"/>
    </row>
    <row r="510" spans="1:27" ht="13.5" customHeight="1" x14ac:dyDescent="0.3">
      <c r="A510" s="1675"/>
      <c r="B510" s="1675"/>
      <c r="C510" s="1678"/>
      <c r="D510" s="1771"/>
      <c r="E510" s="1771"/>
      <c r="F510" s="1771"/>
      <c r="G510" s="1689"/>
      <c r="H510" s="1674"/>
      <c r="I510" s="1675"/>
      <c r="J510" s="1675"/>
      <c r="K510" s="1675"/>
      <c r="L510" s="1675"/>
      <c r="M510" s="1676"/>
      <c r="N510" s="1676"/>
      <c r="O510" s="1676"/>
      <c r="P510" s="1675"/>
      <c r="Q510" s="1675"/>
      <c r="R510" s="1675"/>
      <c r="S510" s="1675"/>
      <c r="T510" s="1675"/>
      <c r="U510" s="1675"/>
      <c r="V510" s="1675"/>
      <c r="W510" s="1675"/>
      <c r="X510" s="1675"/>
      <c r="Y510" s="1675"/>
      <c r="Z510" s="1675"/>
      <c r="AA510" s="1675"/>
    </row>
    <row r="511" spans="1:27" ht="13.5" customHeight="1" x14ac:dyDescent="0.3">
      <c r="A511" s="1675"/>
      <c r="B511" s="1675"/>
      <c r="C511" s="1678"/>
      <c r="D511" s="1771"/>
      <c r="E511" s="1771"/>
      <c r="F511" s="1771"/>
      <c r="G511" s="1689"/>
      <c r="H511" s="1674"/>
      <c r="I511" s="1675"/>
      <c r="J511" s="1675"/>
      <c r="K511" s="1675"/>
      <c r="L511" s="1675"/>
      <c r="M511" s="1676"/>
      <c r="N511" s="1676"/>
      <c r="O511" s="1676"/>
      <c r="P511" s="1675"/>
      <c r="Q511" s="1675"/>
      <c r="R511" s="1675"/>
      <c r="S511" s="1675"/>
      <c r="T511" s="1675"/>
      <c r="U511" s="1675"/>
      <c r="V511" s="1675"/>
      <c r="W511" s="1675"/>
      <c r="X511" s="1675"/>
      <c r="Y511" s="1675"/>
      <c r="Z511" s="1675"/>
      <c r="AA511" s="1675"/>
    </row>
    <row r="512" spans="1:27" ht="13.5" customHeight="1" x14ac:dyDescent="0.3">
      <c r="A512" s="1675"/>
      <c r="B512" s="1675"/>
      <c r="C512" s="1678"/>
      <c r="D512" s="1771"/>
      <c r="E512" s="1771"/>
      <c r="F512" s="1771"/>
      <c r="G512" s="1689"/>
      <c r="H512" s="1674"/>
      <c r="I512" s="1675"/>
      <c r="J512" s="1675"/>
      <c r="K512" s="1675"/>
      <c r="L512" s="1675"/>
      <c r="M512" s="1676"/>
      <c r="N512" s="1676"/>
      <c r="O512" s="1676"/>
      <c r="P512" s="1675"/>
      <c r="Q512" s="1675"/>
      <c r="R512" s="1675"/>
      <c r="S512" s="1675"/>
      <c r="T512" s="1675"/>
      <c r="U512" s="1675"/>
      <c r="V512" s="1675"/>
      <c r="W512" s="1675"/>
      <c r="X512" s="1675"/>
      <c r="Y512" s="1675"/>
      <c r="Z512" s="1675"/>
      <c r="AA512" s="1675"/>
    </row>
    <row r="513" spans="1:27" ht="13.5" customHeight="1" x14ac:dyDescent="0.3">
      <c r="A513" s="1675"/>
      <c r="B513" s="1675"/>
      <c r="C513" s="1678"/>
      <c r="D513" s="1771"/>
      <c r="E513" s="1771"/>
      <c r="F513" s="1771"/>
      <c r="G513" s="1689"/>
      <c r="H513" s="1674"/>
      <c r="I513" s="1675"/>
      <c r="J513" s="1675"/>
      <c r="K513" s="1675"/>
      <c r="L513" s="1675"/>
      <c r="M513" s="1676"/>
      <c r="N513" s="1676"/>
      <c r="O513" s="1676"/>
      <c r="P513" s="1675"/>
      <c r="Q513" s="1675"/>
      <c r="R513" s="1675"/>
      <c r="S513" s="1675"/>
      <c r="T513" s="1675"/>
      <c r="U513" s="1675"/>
      <c r="V513" s="1675"/>
      <c r="W513" s="1675"/>
      <c r="X513" s="1675"/>
      <c r="Y513" s="1675"/>
      <c r="Z513" s="1675"/>
      <c r="AA513" s="1675"/>
    </row>
    <row r="514" spans="1:27" ht="13.5" customHeight="1" x14ac:dyDescent="0.3">
      <c r="A514" s="1675"/>
      <c r="B514" s="1675"/>
      <c r="C514" s="1678"/>
      <c r="D514" s="1771"/>
      <c r="E514" s="1771"/>
      <c r="F514" s="1771"/>
      <c r="G514" s="1689"/>
      <c r="H514" s="1674"/>
      <c r="I514" s="1675"/>
      <c r="J514" s="1675"/>
      <c r="K514" s="1675"/>
      <c r="L514" s="1675"/>
      <c r="M514" s="1676"/>
      <c r="N514" s="1676"/>
      <c r="O514" s="1676"/>
      <c r="P514" s="1675"/>
      <c r="Q514" s="1675"/>
      <c r="R514" s="1675"/>
      <c r="S514" s="1675"/>
      <c r="T514" s="1675"/>
      <c r="U514" s="1675"/>
      <c r="V514" s="1675"/>
      <c r="W514" s="1675"/>
      <c r="X514" s="1675"/>
      <c r="Y514" s="1675"/>
      <c r="Z514" s="1675"/>
      <c r="AA514" s="1675"/>
    </row>
    <row r="515" spans="1:27" ht="13.5" customHeight="1" x14ac:dyDescent="0.3">
      <c r="A515" s="1675"/>
      <c r="B515" s="1675"/>
      <c r="C515" s="1678"/>
      <c r="D515" s="1771"/>
      <c r="E515" s="1771"/>
      <c r="F515" s="1771"/>
      <c r="G515" s="1689"/>
      <c r="H515" s="1674"/>
      <c r="I515" s="1675"/>
      <c r="J515" s="1675"/>
      <c r="K515" s="1675"/>
      <c r="L515" s="1675"/>
      <c r="M515" s="1676"/>
      <c r="N515" s="1676"/>
      <c r="O515" s="1676"/>
      <c r="P515" s="1675"/>
      <c r="Q515" s="1675"/>
      <c r="R515" s="1675"/>
      <c r="S515" s="1675"/>
      <c r="T515" s="1675"/>
      <c r="U515" s="1675"/>
      <c r="V515" s="1675"/>
      <c r="W515" s="1675"/>
      <c r="X515" s="1675"/>
      <c r="Y515" s="1675"/>
      <c r="Z515" s="1675"/>
      <c r="AA515" s="1675"/>
    </row>
    <row r="516" spans="1:27" ht="13.5" customHeight="1" x14ac:dyDescent="0.3">
      <c r="A516" s="1675"/>
      <c r="B516" s="1675"/>
      <c r="C516" s="1678"/>
      <c r="D516" s="1771"/>
      <c r="E516" s="1771"/>
      <c r="F516" s="1771"/>
      <c r="G516" s="1689"/>
      <c r="H516" s="1674"/>
      <c r="I516" s="1675"/>
      <c r="J516" s="1675"/>
      <c r="K516" s="1675"/>
      <c r="L516" s="1675"/>
      <c r="M516" s="1676"/>
      <c r="N516" s="1676"/>
      <c r="O516" s="1676"/>
      <c r="P516" s="1675"/>
      <c r="Q516" s="1675"/>
      <c r="R516" s="1675"/>
      <c r="S516" s="1675"/>
      <c r="T516" s="1675"/>
      <c r="U516" s="1675"/>
      <c r="V516" s="1675"/>
      <c r="W516" s="1675"/>
      <c r="X516" s="1675"/>
      <c r="Y516" s="1675"/>
      <c r="Z516" s="1675"/>
      <c r="AA516" s="1675"/>
    </row>
    <row r="517" spans="1:27" ht="13.5" customHeight="1" x14ac:dyDescent="0.3">
      <c r="A517" s="1675"/>
      <c r="B517" s="1675"/>
      <c r="C517" s="1678"/>
      <c r="D517" s="1771"/>
      <c r="E517" s="1771"/>
      <c r="F517" s="1771"/>
      <c r="G517" s="1689"/>
      <c r="H517" s="1674"/>
      <c r="I517" s="1675"/>
      <c r="J517" s="1675"/>
      <c r="K517" s="1675"/>
      <c r="L517" s="1675"/>
      <c r="M517" s="1676"/>
      <c r="N517" s="1676"/>
      <c r="O517" s="1676"/>
      <c r="P517" s="1675"/>
      <c r="Q517" s="1675"/>
      <c r="R517" s="1675"/>
      <c r="S517" s="1675"/>
      <c r="T517" s="1675"/>
      <c r="U517" s="1675"/>
      <c r="V517" s="1675"/>
      <c r="W517" s="1675"/>
      <c r="X517" s="1675"/>
      <c r="Y517" s="1675"/>
      <c r="Z517" s="1675"/>
      <c r="AA517" s="1675"/>
    </row>
    <row r="518" spans="1:27" ht="13.5" customHeight="1" x14ac:dyDescent="0.3">
      <c r="A518" s="1675"/>
      <c r="B518" s="1675"/>
      <c r="C518" s="1678"/>
      <c r="D518" s="1771"/>
      <c r="E518" s="1771"/>
      <c r="F518" s="1771"/>
      <c r="G518" s="1689"/>
      <c r="H518" s="1674"/>
      <c r="I518" s="1675"/>
      <c r="J518" s="1675"/>
      <c r="K518" s="1675"/>
      <c r="L518" s="1675"/>
      <c r="M518" s="1676"/>
      <c r="N518" s="1676"/>
      <c r="O518" s="1676"/>
      <c r="P518" s="1675"/>
      <c r="Q518" s="1675"/>
      <c r="R518" s="1675"/>
      <c r="S518" s="1675"/>
      <c r="T518" s="1675"/>
      <c r="U518" s="1675"/>
      <c r="V518" s="1675"/>
      <c r="W518" s="1675"/>
      <c r="X518" s="1675"/>
      <c r="Y518" s="1675"/>
      <c r="Z518" s="1675"/>
      <c r="AA518" s="1675"/>
    </row>
    <row r="519" spans="1:27" ht="13.5" customHeight="1" x14ac:dyDescent="0.3">
      <c r="A519" s="1675"/>
      <c r="B519" s="1675"/>
      <c r="C519" s="1678"/>
      <c r="D519" s="1771"/>
      <c r="E519" s="1771"/>
      <c r="F519" s="1771"/>
      <c r="G519" s="1689"/>
      <c r="H519" s="1674"/>
      <c r="I519" s="1675"/>
      <c r="J519" s="1675"/>
      <c r="K519" s="1675"/>
      <c r="L519" s="1675"/>
      <c r="M519" s="1676"/>
      <c r="N519" s="1676"/>
      <c r="O519" s="1676"/>
      <c r="P519" s="1675"/>
      <c r="Q519" s="1675"/>
      <c r="R519" s="1675"/>
      <c r="S519" s="1675"/>
      <c r="T519" s="1675"/>
      <c r="U519" s="1675"/>
      <c r="V519" s="1675"/>
      <c r="W519" s="1675"/>
      <c r="X519" s="1675"/>
      <c r="Y519" s="1675"/>
      <c r="Z519" s="1675"/>
      <c r="AA519" s="1675"/>
    </row>
    <row r="520" spans="1:27" ht="13.5" customHeight="1" x14ac:dyDescent="0.3">
      <c r="A520" s="1675"/>
      <c r="B520" s="1675"/>
      <c r="C520" s="1678"/>
      <c r="D520" s="1771"/>
      <c r="E520" s="1771"/>
      <c r="F520" s="1771"/>
      <c r="G520" s="1689"/>
      <c r="H520" s="1674"/>
      <c r="I520" s="1675"/>
      <c r="J520" s="1675"/>
      <c r="K520" s="1675"/>
      <c r="L520" s="1675"/>
      <c r="M520" s="1676"/>
      <c r="N520" s="1676"/>
      <c r="O520" s="1676"/>
      <c r="P520" s="1675"/>
      <c r="Q520" s="1675"/>
      <c r="R520" s="1675"/>
      <c r="S520" s="1675"/>
      <c r="T520" s="1675"/>
      <c r="U520" s="1675"/>
      <c r="V520" s="1675"/>
      <c r="W520" s="1675"/>
      <c r="X520" s="1675"/>
      <c r="Y520" s="1675"/>
      <c r="Z520" s="1675"/>
      <c r="AA520" s="1675"/>
    </row>
    <row r="521" spans="1:27" ht="13.5" customHeight="1" x14ac:dyDescent="0.3">
      <c r="A521" s="1675"/>
      <c r="B521" s="1675"/>
      <c r="C521" s="1678"/>
      <c r="D521" s="1771"/>
      <c r="E521" s="1771"/>
      <c r="F521" s="1771"/>
      <c r="G521" s="1689"/>
      <c r="H521" s="1674"/>
      <c r="I521" s="1675"/>
      <c r="J521" s="1675"/>
      <c r="K521" s="1675"/>
      <c r="L521" s="1675"/>
      <c r="M521" s="1676"/>
      <c r="N521" s="1676"/>
      <c r="O521" s="1676"/>
      <c r="P521" s="1675"/>
      <c r="Q521" s="1675"/>
      <c r="R521" s="1675"/>
      <c r="S521" s="1675"/>
      <c r="T521" s="1675"/>
      <c r="U521" s="1675"/>
      <c r="V521" s="1675"/>
      <c r="W521" s="1675"/>
      <c r="X521" s="1675"/>
      <c r="Y521" s="1675"/>
      <c r="Z521" s="1675"/>
      <c r="AA521" s="1675"/>
    </row>
    <row r="522" spans="1:27" ht="13.5" customHeight="1" x14ac:dyDescent="0.3">
      <c r="A522" s="1675"/>
      <c r="B522" s="1675"/>
      <c r="C522" s="1678"/>
      <c r="D522" s="1771"/>
      <c r="E522" s="1771"/>
      <c r="F522" s="1771"/>
      <c r="G522" s="1689"/>
      <c r="H522" s="1674"/>
      <c r="I522" s="1675"/>
      <c r="J522" s="1675"/>
      <c r="K522" s="1675"/>
      <c r="L522" s="1675"/>
      <c r="M522" s="1676"/>
      <c r="N522" s="1676"/>
      <c r="O522" s="1676"/>
      <c r="P522" s="1675"/>
      <c r="Q522" s="1675"/>
      <c r="R522" s="1675"/>
      <c r="S522" s="1675"/>
      <c r="T522" s="1675"/>
      <c r="U522" s="1675"/>
      <c r="V522" s="1675"/>
      <c r="W522" s="1675"/>
      <c r="X522" s="1675"/>
      <c r="Y522" s="1675"/>
      <c r="Z522" s="1675"/>
      <c r="AA522" s="1675"/>
    </row>
    <row r="523" spans="1:27" ht="13.5" customHeight="1" x14ac:dyDescent="0.3">
      <c r="A523" s="1675"/>
      <c r="B523" s="1675"/>
      <c r="C523" s="1678"/>
      <c r="D523" s="1771"/>
      <c r="E523" s="1771"/>
      <c r="F523" s="1771"/>
      <c r="G523" s="1689"/>
      <c r="H523" s="1674"/>
      <c r="I523" s="1675"/>
      <c r="J523" s="1675"/>
      <c r="K523" s="1675"/>
      <c r="L523" s="1675"/>
      <c r="M523" s="1676"/>
      <c r="N523" s="1676"/>
      <c r="O523" s="1676"/>
      <c r="P523" s="1675"/>
      <c r="Q523" s="1675"/>
      <c r="R523" s="1675"/>
      <c r="S523" s="1675"/>
      <c r="T523" s="1675"/>
      <c r="U523" s="1675"/>
      <c r="V523" s="1675"/>
      <c r="W523" s="1675"/>
      <c r="X523" s="1675"/>
      <c r="Y523" s="1675"/>
      <c r="Z523" s="1675"/>
      <c r="AA523" s="1675"/>
    </row>
    <row r="524" spans="1:27" ht="13.5" customHeight="1" x14ac:dyDescent="0.3">
      <c r="A524" s="1675"/>
      <c r="B524" s="1675"/>
      <c r="C524" s="1678"/>
      <c r="D524" s="1771"/>
      <c r="E524" s="1771"/>
      <c r="F524" s="1771"/>
      <c r="G524" s="1689"/>
      <c r="H524" s="1674"/>
      <c r="I524" s="1675"/>
      <c r="J524" s="1675"/>
      <c r="K524" s="1675"/>
      <c r="L524" s="1675"/>
      <c r="M524" s="1676"/>
      <c r="N524" s="1676"/>
      <c r="O524" s="1676"/>
      <c r="P524" s="1675"/>
      <c r="Q524" s="1675"/>
      <c r="R524" s="1675"/>
      <c r="S524" s="1675"/>
      <c r="T524" s="1675"/>
      <c r="U524" s="1675"/>
      <c r="V524" s="1675"/>
      <c r="W524" s="1675"/>
      <c r="X524" s="1675"/>
      <c r="Y524" s="1675"/>
      <c r="Z524" s="1675"/>
      <c r="AA524" s="1675"/>
    </row>
    <row r="525" spans="1:27" ht="13.5" customHeight="1" x14ac:dyDescent="0.3">
      <c r="A525" s="1675"/>
      <c r="B525" s="1675"/>
      <c r="C525" s="1678"/>
      <c r="D525" s="1771"/>
      <c r="E525" s="1771"/>
      <c r="F525" s="1771"/>
      <c r="G525" s="1689"/>
      <c r="H525" s="1674"/>
      <c r="I525" s="1675"/>
      <c r="J525" s="1675"/>
      <c r="K525" s="1675"/>
      <c r="L525" s="1675"/>
      <c r="M525" s="1676"/>
      <c r="N525" s="1676"/>
      <c r="O525" s="1676"/>
      <c r="P525" s="1675"/>
      <c r="Q525" s="1675"/>
      <c r="R525" s="1675"/>
      <c r="S525" s="1675"/>
      <c r="T525" s="1675"/>
      <c r="U525" s="1675"/>
      <c r="V525" s="1675"/>
      <c r="W525" s="1675"/>
      <c r="X525" s="1675"/>
      <c r="Y525" s="1675"/>
      <c r="Z525" s="1675"/>
      <c r="AA525" s="1675"/>
    </row>
    <row r="526" spans="1:27" ht="13.5" customHeight="1" x14ac:dyDescent="0.3">
      <c r="A526" s="1675"/>
      <c r="B526" s="1675"/>
      <c r="C526" s="1678"/>
      <c r="D526" s="1771"/>
      <c r="E526" s="1771"/>
      <c r="F526" s="1771"/>
      <c r="G526" s="1689"/>
      <c r="H526" s="1674"/>
      <c r="I526" s="1675"/>
      <c r="J526" s="1675"/>
      <c r="K526" s="1675"/>
      <c r="L526" s="1675"/>
      <c r="M526" s="1676"/>
      <c r="N526" s="1676"/>
      <c r="O526" s="1676"/>
      <c r="P526" s="1675"/>
      <c r="Q526" s="1675"/>
      <c r="R526" s="1675"/>
      <c r="S526" s="1675"/>
      <c r="T526" s="1675"/>
      <c r="U526" s="1675"/>
      <c r="V526" s="1675"/>
      <c r="W526" s="1675"/>
      <c r="X526" s="1675"/>
      <c r="Y526" s="1675"/>
      <c r="Z526" s="1675"/>
      <c r="AA526" s="1675"/>
    </row>
    <row r="527" spans="1:27" ht="13.5" customHeight="1" x14ac:dyDescent="0.3">
      <c r="A527" s="1675"/>
      <c r="B527" s="1675"/>
      <c r="C527" s="1678"/>
      <c r="D527" s="1771"/>
      <c r="E527" s="1771"/>
      <c r="F527" s="1771"/>
      <c r="G527" s="1689"/>
      <c r="H527" s="1674"/>
      <c r="I527" s="1675"/>
      <c r="J527" s="1675"/>
      <c r="K527" s="1675"/>
      <c r="L527" s="1675"/>
      <c r="M527" s="1676"/>
      <c r="N527" s="1676"/>
      <c r="O527" s="1676"/>
      <c r="P527" s="1675"/>
      <c r="Q527" s="1675"/>
      <c r="R527" s="1675"/>
      <c r="S527" s="1675"/>
      <c r="T527" s="1675"/>
      <c r="U527" s="1675"/>
      <c r="V527" s="1675"/>
      <c r="W527" s="1675"/>
      <c r="X527" s="1675"/>
      <c r="Y527" s="1675"/>
      <c r="Z527" s="1675"/>
      <c r="AA527" s="1675"/>
    </row>
    <row r="528" spans="1:27" ht="13.5" customHeight="1" x14ac:dyDescent="0.3">
      <c r="A528" s="1675"/>
      <c r="B528" s="1675"/>
      <c r="C528" s="1678"/>
      <c r="D528" s="1771"/>
      <c r="E528" s="1771"/>
      <c r="F528" s="1771"/>
      <c r="G528" s="1689"/>
      <c r="H528" s="1674"/>
      <c r="I528" s="1675"/>
      <c r="J528" s="1675"/>
      <c r="K528" s="1675"/>
      <c r="L528" s="1675"/>
      <c r="M528" s="1676"/>
      <c r="N528" s="1676"/>
      <c r="O528" s="1676"/>
      <c r="P528" s="1675"/>
      <c r="Q528" s="1675"/>
      <c r="R528" s="1675"/>
      <c r="S528" s="1675"/>
      <c r="T528" s="1675"/>
      <c r="U528" s="1675"/>
      <c r="V528" s="1675"/>
      <c r="W528" s="1675"/>
      <c r="X528" s="1675"/>
      <c r="Y528" s="1675"/>
      <c r="Z528" s="1675"/>
      <c r="AA528" s="1675"/>
    </row>
    <row r="529" spans="1:27" ht="13.5" customHeight="1" x14ac:dyDescent="0.3">
      <c r="A529" s="1675"/>
      <c r="B529" s="1675"/>
      <c r="C529" s="1678"/>
      <c r="D529" s="1771"/>
      <c r="E529" s="1771"/>
      <c r="F529" s="1771"/>
      <c r="G529" s="1689"/>
      <c r="H529" s="1674"/>
      <c r="I529" s="1675"/>
      <c r="J529" s="1675"/>
      <c r="K529" s="1675"/>
      <c r="L529" s="1675"/>
      <c r="M529" s="1676"/>
      <c r="N529" s="1676"/>
      <c r="O529" s="1676"/>
      <c r="P529" s="1675"/>
      <c r="Q529" s="1675"/>
      <c r="R529" s="1675"/>
      <c r="S529" s="1675"/>
      <c r="T529" s="1675"/>
      <c r="U529" s="1675"/>
      <c r="V529" s="1675"/>
      <c r="W529" s="1675"/>
      <c r="X529" s="1675"/>
      <c r="Y529" s="1675"/>
      <c r="Z529" s="1675"/>
      <c r="AA529" s="1675"/>
    </row>
    <row r="530" spans="1:27" ht="13.5" customHeight="1" x14ac:dyDescent="0.3">
      <c r="A530" s="1675"/>
      <c r="B530" s="1675"/>
      <c r="C530" s="1678"/>
      <c r="D530" s="1771"/>
      <c r="E530" s="1771"/>
      <c r="F530" s="1771"/>
      <c r="G530" s="1689"/>
      <c r="H530" s="1674"/>
      <c r="I530" s="1675"/>
      <c r="J530" s="1675"/>
      <c r="K530" s="1675"/>
      <c r="L530" s="1675"/>
      <c r="M530" s="1676"/>
      <c r="N530" s="1676"/>
      <c r="O530" s="1676"/>
      <c r="P530" s="1675"/>
      <c r="Q530" s="1675"/>
      <c r="R530" s="1675"/>
      <c r="S530" s="1675"/>
      <c r="T530" s="1675"/>
      <c r="U530" s="1675"/>
      <c r="V530" s="1675"/>
      <c r="W530" s="1675"/>
      <c r="X530" s="1675"/>
      <c r="Y530" s="1675"/>
      <c r="Z530" s="1675"/>
      <c r="AA530" s="1675"/>
    </row>
    <row r="531" spans="1:27" ht="13.5" customHeight="1" x14ac:dyDescent="0.3">
      <c r="A531" s="1675"/>
      <c r="B531" s="1675"/>
      <c r="C531" s="1678"/>
      <c r="D531" s="1771"/>
      <c r="E531" s="1771"/>
      <c r="F531" s="1771"/>
      <c r="G531" s="1689"/>
      <c r="H531" s="1674"/>
      <c r="I531" s="1675"/>
      <c r="J531" s="1675"/>
      <c r="K531" s="1675"/>
      <c r="L531" s="1675"/>
      <c r="M531" s="1676"/>
      <c r="N531" s="1676"/>
      <c r="O531" s="1676"/>
      <c r="P531" s="1675"/>
      <c r="Q531" s="1675"/>
      <c r="R531" s="1675"/>
      <c r="S531" s="1675"/>
      <c r="T531" s="1675"/>
      <c r="U531" s="1675"/>
      <c r="V531" s="1675"/>
      <c r="W531" s="1675"/>
      <c r="X531" s="1675"/>
      <c r="Y531" s="1675"/>
      <c r="Z531" s="1675"/>
      <c r="AA531" s="1675"/>
    </row>
    <row r="532" spans="1:27" ht="13.5" customHeight="1" x14ac:dyDescent="0.3">
      <c r="A532" s="1675"/>
      <c r="B532" s="1675"/>
      <c r="C532" s="1678"/>
      <c r="D532" s="1771"/>
      <c r="E532" s="1771"/>
      <c r="F532" s="1771"/>
      <c r="G532" s="1689"/>
      <c r="H532" s="1674"/>
      <c r="I532" s="1675"/>
      <c r="J532" s="1675"/>
      <c r="K532" s="1675"/>
      <c r="L532" s="1675"/>
      <c r="M532" s="1676"/>
      <c r="N532" s="1676"/>
      <c r="O532" s="1676"/>
      <c r="P532" s="1675"/>
      <c r="Q532" s="1675"/>
      <c r="R532" s="1675"/>
      <c r="S532" s="1675"/>
      <c r="T532" s="1675"/>
      <c r="U532" s="1675"/>
      <c r="V532" s="1675"/>
      <c r="W532" s="1675"/>
      <c r="X532" s="1675"/>
      <c r="Y532" s="1675"/>
      <c r="Z532" s="1675"/>
      <c r="AA532" s="1675"/>
    </row>
    <row r="533" spans="1:27" ht="13.5" customHeight="1" x14ac:dyDescent="0.3">
      <c r="A533" s="1675"/>
      <c r="B533" s="1675"/>
      <c r="C533" s="1678"/>
      <c r="D533" s="1771"/>
      <c r="E533" s="1771"/>
      <c r="F533" s="1771"/>
      <c r="G533" s="1689"/>
      <c r="H533" s="1674"/>
      <c r="I533" s="1675"/>
      <c r="J533" s="1675"/>
      <c r="K533" s="1675"/>
      <c r="L533" s="1675"/>
      <c r="M533" s="1676"/>
      <c r="N533" s="1676"/>
      <c r="O533" s="1676"/>
      <c r="P533" s="1675"/>
      <c r="Q533" s="1675"/>
      <c r="R533" s="1675"/>
      <c r="S533" s="1675"/>
      <c r="T533" s="1675"/>
      <c r="U533" s="1675"/>
      <c r="V533" s="1675"/>
      <c r="W533" s="1675"/>
      <c r="X533" s="1675"/>
      <c r="Y533" s="1675"/>
      <c r="Z533" s="1675"/>
      <c r="AA533" s="1675"/>
    </row>
    <row r="534" spans="1:27" ht="13.5" customHeight="1" x14ac:dyDescent="0.3">
      <c r="A534" s="1675"/>
      <c r="B534" s="1675"/>
      <c r="C534" s="1678"/>
      <c r="D534" s="1771"/>
      <c r="E534" s="1771"/>
      <c r="F534" s="1771"/>
      <c r="G534" s="1689"/>
      <c r="H534" s="1674"/>
      <c r="I534" s="1675"/>
      <c r="J534" s="1675"/>
      <c r="K534" s="1675"/>
      <c r="L534" s="1675"/>
      <c r="M534" s="1676"/>
      <c r="N534" s="1676"/>
      <c r="O534" s="1676"/>
      <c r="P534" s="1675"/>
      <c r="Q534" s="1675"/>
      <c r="R534" s="1675"/>
      <c r="S534" s="1675"/>
      <c r="T534" s="1675"/>
      <c r="U534" s="1675"/>
      <c r="V534" s="1675"/>
      <c r="W534" s="1675"/>
      <c r="X534" s="1675"/>
      <c r="Y534" s="1675"/>
      <c r="Z534" s="1675"/>
      <c r="AA534" s="1675"/>
    </row>
    <row r="535" spans="1:27" ht="13.5" customHeight="1" x14ac:dyDescent="0.3">
      <c r="A535" s="1675"/>
      <c r="B535" s="1675"/>
      <c r="C535" s="1678"/>
      <c r="D535" s="1771"/>
      <c r="E535" s="1771"/>
      <c r="F535" s="1771"/>
      <c r="G535" s="1689"/>
      <c r="H535" s="1674"/>
      <c r="I535" s="1675"/>
      <c r="J535" s="1675"/>
      <c r="K535" s="1675"/>
      <c r="L535" s="1675"/>
      <c r="M535" s="1676"/>
      <c r="N535" s="1676"/>
      <c r="O535" s="1676"/>
      <c r="P535" s="1675"/>
      <c r="Q535" s="1675"/>
      <c r="R535" s="1675"/>
      <c r="S535" s="1675"/>
      <c r="T535" s="1675"/>
      <c r="U535" s="1675"/>
      <c r="V535" s="1675"/>
      <c r="W535" s="1675"/>
      <c r="X535" s="1675"/>
      <c r="Y535" s="1675"/>
      <c r="Z535" s="1675"/>
      <c r="AA535" s="1675"/>
    </row>
    <row r="536" spans="1:27" ht="13.5" customHeight="1" x14ac:dyDescent="0.3">
      <c r="A536" s="1675"/>
      <c r="B536" s="1675"/>
      <c r="C536" s="1678"/>
      <c r="D536" s="1771"/>
      <c r="E536" s="1771"/>
      <c r="F536" s="1771"/>
      <c r="G536" s="1689"/>
      <c r="H536" s="1674"/>
      <c r="I536" s="1675"/>
      <c r="J536" s="1675"/>
      <c r="K536" s="1675"/>
      <c r="L536" s="1675"/>
      <c r="M536" s="1676"/>
      <c r="N536" s="1676"/>
      <c r="O536" s="1676"/>
      <c r="P536" s="1675"/>
      <c r="Q536" s="1675"/>
      <c r="R536" s="1675"/>
      <c r="S536" s="1675"/>
      <c r="T536" s="1675"/>
      <c r="U536" s="1675"/>
      <c r="V536" s="1675"/>
      <c r="W536" s="1675"/>
      <c r="X536" s="1675"/>
      <c r="Y536" s="1675"/>
      <c r="Z536" s="1675"/>
      <c r="AA536" s="1675"/>
    </row>
    <row r="537" spans="1:27" ht="13.5" customHeight="1" x14ac:dyDescent="0.3">
      <c r="A537" s="1675"/>
      <c r="B537" s="1675"/>
      <c r="C537" s="1678"/>
      <c r="D537" s="1771"/>
      <c r="E537" s="1771"/>
      <c r="F537" s="1771"/>
      <c r="G537" s="1689"/>
      <c r="H537" s="1674"/>
      <c r="I537" s="1675"/>
      <c r="J537" s="1675"/>
      <c r="K537" s="1675"/>
      <c r="L537" s="1675"/>
      <c r="M537" s="1676"/>
      <c r="N537" s="1676"/>
      <c r="O537" s="1676"/>
      <c r="P537" s="1675"/>
      <c r="Q537" s="1675"/>
      <c r="R537" s="1675"/>
      <c r="S537" s="1675"/>
      <c r="T537" s="1675"/>
      <c r="U537" s="1675"/>
      <c r="V537" s="1675"/>
      <c r="W537" s="1675"/>
      <c r="X537" s="1675"/>
      <c r="Y537" s="1675"/>
      <c r="Z537" s="1675"/>
      <c r="AA537" s="1675"/>
    </row>
    <row r="538" spans="1:27" ht="13.5" customHeight="1" x14ac:dyDescent="0.3">
      <c r="A538" s="1675"/>
      <c r="B538" s="1675"/>
      <c r="C538" s="1678"/>
      <c r="D538" s="1771"/>
      <c r="E538" s="1771"/>
      <c r="F538" s="1771"/>
      <c r="G538" s="1689"/>
      <c r="H538" s="1674"/>
      <c r="I538" s="1675"/>
      <c r="J538" s="1675"/>
      <c r="K538" s="1675"/>
      <c r="L538" s="1675"/>
      <c r="M538" s="1676"/>
      <c r="N538" s="1676"/>
      <c r="O538" s="1676"/>
      <c r="P538" s="1675"/>
      <c r="Q538" s="1675"/>
      <c r="R538" s="1675"/>
      <c r="S538" s="1675"/>
      <c r="T538" s="1675"/>
      <c r="U538" s="1675"/>
      <c r="V538" s="1675"/>
      <c r="W538" s="1675"/>
      <c r="X538" s="1675"/>
      <c r="Y538" s="1675"/>
      <c r="Z538" s="1675"/>
      <c r="AA538" s="1675"/>
    </row>
    <row r="539" spans="1:27" ht="13.5" customHeight="1" x14ac:dyDescent="0.3">
      <c r="A539" s="1675"/>
      <c r="B539" s="1675"/>
      <c r="C539" s="1678"/>
      <c r="D539" s="1771"/>
      <c r="E539" s="1771"/>
      <c r="F539" s="1771"/>
      <c r="G539" s="1689"/>
      <c r="H539" s="1674"/>
      <c r="I539" s="1675"/>
      <c r="J539" s="1675"/>
      <c r="K539" s="1675"/>
      <c r="L539" s="1675"/>
      <c r="M539" s="1676"/>
      <c r="N539" s="1676"/>
      <c r="O539" s="1676"/>
      <c r="P539" s="1675"/>
      <c r="Q539" s="1675"/>
      <c r="R539" s="1675"/>
      <c r="S539" s="1675"/>
      <c r="T539" s="1675"/>
      <c r="U539" s="1675"/>
      <c r="V539" s="1675"/>
      <c r="W539" s="1675"/>
      <c r="X539" s="1675"/>
      <c r="Y539" s="1675"/>
      <c r="Z539" s="1675"/>
      <c r="AA539" s="1675"/>
    </row>
    <row r="540" spans="1:27" ht="13.5" customHeight="1" x14ac:dyDescent="0.3">
      <c r="A540" s="1675"/>
      <c r="B540" s="1675"/>
      <c r="C540" s="1678"/>
      <c r="D540" s="1771"/>
      <c r="E540" s="1771"/>
      <c r="F540" s="1771"/>
      <c r="G540" s="1689"/>
      <c r="H540" s="1674"/>
      <c r="I540" s="1675"/>
      <c r="J540" s="1675"/>
      <c r="K540" s="1675"/>
      <c r="L540" s="1675"/>
      <c r="M540" s="1676"/>
      <c r="N540" s="1676"/>
      <c r="O540" s="1676"/>
      <c r="P540" s="1675"/>
      <c r="Q540" s="1675"/>
      <c r="R540" s="1675"/>
      <c r="S540" s="1675"/>
      <c r="T540" s="1675"/>
      <c r="U540" s="1675"/>
      <c r="V540" s="1675"/>
      <c r="W540" s="1675"/>
      <c r="X540" s="1675"/>
      <c r="Y540" s="1675"/>
      <c r="Z540" s="1675"/>
      <c r="AA540" s="1675"/>
    </row>
    <row r="541" spans="1:27" ht="13.5" customHeight="1" x14ac:dyDescent="0.3">
      <c r="A541" s="1675"/>
      <c r="B541" s="1675"/>
      <c r="C541" s="1678"/>
      <c r="D541" s="1771"/>
      <c r="E541" s="1771"/>
      <c r="F541" s="1771"/>
      <c r="G541" s="1689"/>
      <c r="H541" s="1674"/>
      <c r="I541" s="1675"/>
      <c r="J541" s="1675"/>
      <c r="K541" s="1675"/>
      <c r="L541" s="1675"/>
      <c r="M541" s="1676"/>
      <c r="N541" s="1676"/>
      <c r="O541" s="1676"/>
      <c r="P541" s="1675"/>
      <c r="Q541" s="1675"/>
      <c r="R541" s="1675"/>
      <c r="S541" s="1675"/>
      <c r="T541" s="1675"/>
      <c r="U541" s="1675"/>
      <c r="V541" s="1675"/>
      <c r="W541" s="1675"/>
      <c r="X541" s="1675"/>
      <c r="Y541" s="1675"/>
      <c r="Z541" s="1675"/>
      <c r="AA541" s="1675"/>
    </row>
    <row r="542" spans="1:27" ht="13.5" customHeight="1" x14ac:dyDescent="0.3">
      <c r="A542" s="1675"/>
      <c r="B542" s="1675"/>
      <c r="C542" s="1678"/>
      <c r="D542" s="1771"/>
      <c r="E542" s="1771"/>
      <c r="F542" s="1771"/>
      <c r="G542" s="1689"/>
      <c r="H542" s="1674"/>
      <c r="I542" s="1675"/>
      <c r="J542" s="1675"/>
      <c r="K542" s="1675"/>
      <c r="L542" s="1675"/>
      <c r="M542" s="1676"/>
      <c r="N542" s="1676"/>
      <c r="O542" s="1676"/>
      <c r="P542" s="1675"/>
      <c r="Q542" s="1675"/>
      <c r="R542" s="1675"/>
      <c r="S542" s="1675"/>
      <c r="T542" s="1675"/>
      <c r="U542" s="1675"/>
      <c r="V542" s="1675"/>
      <c r="W542" s="1675"/>
      <c r="X542" s="1675"/>
      <c r="Y542" s="1675"/>
      <c r="Z542" s="1675"/>
      <c r="AA542" s="1675"/>
    </row>
    <row r="543" spans="1:27" ht="13.5" customHeight="1" x14ac:dyDescent="0.3">
      <c r="A543" s="1675"/>
      <c r="B543" s="1675"/>
      <c r="C543" s="1678"/>
      <c r="D543" s="1771"/>
      <c r="E543" s="1771"/>
      <c r="F543" s="1771"/>
      <c r="G543" s="1689"/>
      <c r="H543" s="1674"/>
      <c r="I543" s="1675"/>
      <c r="J543" s="1675"/>
      <c r="K543" s="1675"/>
      <c r="L543" s="1675"/>
      <c r="M543" s="1676"/>
      <c r="N543" s="1676"/>
      <c r="O543" s="1676"/>
      <c r="P543" s="1675"/>
      <c r="Q543" s="1675"/>
      <c r="R543" s="1675"/>
      <c r="S543" s="1675"/>
      <c r="T543" s="1675"/>
      <c r="U543" s="1675"/>
      <c r="V543" s="1675"/>
      <c r="W543" s="1675"/>
      <c r="X543" s="1675"/>
      <c r="Y543" s="1675"/>
      <c r="Z543" s="1675"/>
      <c r="AA543" s="1675"/>
    </row>
    <row r="544" spans="1:27" ht="13.5" customHeight="1" x14ac:dyDescent="0.3">
      <c r="A544" s="1675"/>
      <c r="B544" s="1675"/>
      <c r="C544" s="1678"/>
      <c r="D544" s="1771"/>
      <c r="E544" s="1771"/>
      <c r="F544" s="1771"/>
      <c r="G544" s="1689"/>
      <c r="H544" s="1674"/>
      <c r="I544" s="1675"/>
      <c r="J544" s="1675"/>
      <c r="K544" s="1675"/>
      <c r="L544" s="1675"/>
      <c r="M544" s="1676"/>
      <c r="N544" s="1676"/>
      <c r="O544" s="1676"/>
      <c r="P544" s="1675"/>
      <c r="Q544" s="1675"/>
      <c r="R544" s="1675"/>
      <c r="S544" s="1675"/>
      <c r="T544" s="1675"/>
      <c r="U544" s="1675"/>
      <c r="V544" s="1675"/>
      <c r="W544" s="1675"/>
      <c r="X544" s="1675"/>
      <c r="Y544" s="1675"/>
      <c r="Z544" s="1675"/>
      <c r="AA544" s="1675"/>
    </row>
    <row r="545" spans="1:27" ht="13.5" customHeight="1" x14ac:dyDescent="0.3">
      <c r="A545" s="1675"/>
      <c r="B545" s="1675"/>
      <c r="C545" s="1678"/>
      <c r="D545" s="1771"/>
      <c r="E545" s="1771"/>
      <c r="F545" s="1771"/>
      <c r="G545" s="1689"/>
      <c r="H545" s="1674"/>
      <c r="I545" s="1675"/>
      <c r="J545" s="1675"/>
      <c r="K545" s="1675"/>
      <c r="L545" s="1675"/>
      <c r="M545" s="1676"/>
      <c r="N545" s="1676"/>
      <c r="O545" s="1676"/>
      <c r="P545" s="1675"/>
      <c r="Q545" s="1675"/>
      <c r="R545" s="1675"/>
      <c r="S545" s="1675"/>
      <c r="T545" s="1675"/>
      <c r="U545" s="1675"/>
      <c r="V545" s="1675"/>
      <c r="W545" s="1675"/>
      <c r="X545" s="1675"/>
      <c r="Y545" s="1675"/>
      <c r="Z545" s="1675"/>
      <c r="AA545" s="1675"/>
    </row>
    <row r="546" spans="1:27" ht="13.5" customHeight="1" x14ac:dyDescent="0.3">
      <c r="A546" s="1675"/>
      <c r="B546" s="1675"/>
      <c r="C546" s="1678"/>
      <c r="D546" s="1771"/>
      <c r="E546" s="1771"/>
      <c r="F546" s="1771"/>
      <c r="G546" s="1689"/>
      <c r="H546" s="1674"/>
      <c r="I546" s="1675"/>
      <c r="J546" s="1675"/>
      <c r="K546" s="1675"/>
      <c r="L546" s="1675"/>
      <c r="M546" s="1676"/>
      <c r="N546" s="1676"/>
      <c r="O546" s="1676"/>
      <c r="P546" s="1675"/>
      <c r="Q546" s="1675"/>
      <c r="R546" s="1675"/>
      <c r="S546" s="1675"/>
      <c r="T546" s="1675"/>
      <c r="U546" s="1675"/>
      <c r="V546" s="1675"/>
      <c r="W546" s="1675"/>
      <c r="X546" s="1675"/>
      <c r="Y546" s="1675"/>
      <c r="Z546" s="1675"/>
      <c r="AA546" s="1675"/>
    </row>
    <row r="547" spans="1:27" ht="13.5" customHeight="1" x14ac:dyDescent="0.3">
      <c r="A547" s="1675"/>
      <c r="B547" s="1675"/>
      <c r="C547" s="1678"/>
      <c r="D547" s="1771"/>
      <c r="E547" s="1771"/>
      <c r="F547" s="1771"/>
      <c r="G547" s="1689"/>
      <c r="H547" s="1674"/>
      <c r="I547" s="1675"/>
      <c r="J547" s="1675"/>
      <c r="K547" s="1675"/>
      <c r="L547" s="1675"/>
      <c r="M547" s="1676"/>
      <c r="N547" s="1676"/>
      <c r="O547" s="1676"/>
      <c r="P547" s="1675"/>
      <c r="Q547" s="1675"/>
      <c r="R547" s="1675"/>
      <c r="S547" s="1675"/>
      <c r="T547" s="1675"/>
      <c r="U547" s="1675"/>
      <c r="V547" s="1675"/>
      <c r="W547" s="1675"/>
      <c r="X547" s="1675"/>
      <c r="Y547" s="1675"/>
      <c r="Z547" s="1675"/>
      <c r="AA547" s="1675"/>
    </row>
    <row r="548" spans="1:27" ht="13.5" customHeight="1" x14ac:dyDescent="0.3">
      <c r="A548" s="1675"/>
      <c r="B548" s="1675"/>
      <c r="C548" s="1678"/>
      <c r="D548" s="1771"/>
      <c r="E548" s="1771"/>
      <c r="F548" s="1771"/>
      <c r="G548" s="1689"/>
      <c r="H548" s="1674"/>
      <c r="I548" s="1675"/>
      <c r="J548" s="1675"/>
      <c r="K548" s="1675"/>
      <c r="L548" s="1675"/>
      <c r="M548" s="1676"/>
      <c r="N548" s="1676"/>
      <c r="O548" s="1676"/>
      <c r="P548" s="1675"/>
      <c r="Q548" s="1675"/>
      <c r="R548" s="1675"/>
      <c r="S548" s="1675"/>
      <c r="T548" s="1675"/>
      <c r="U548" s="1675"/>
      <c r="V548" s="1675"/>
      <c r="W548" s="1675"/>
      <c r="X548" s="1675"/>
      <c r="Y548" s="1675"/>
      <c r="Z548" s="1675"/>
      <c r="AA548" s="1675"/>
    </row>
    <row r="549" spans="1:27" ht="13.5" customHeight="1" x14ac:dyDescent="0.3">
      <c r="A549" s="1675"/>
      <c r="B549" s="1675"/>
      <c r="C549" s="1678"/>
      <c r="D549" s="1771"/>
      <c r="E549" s="1771"/>
      <c r="F549" s="1771"/>
      <c r="G549" s="1689"/>
      <c r="H549" s="1674"/>
      <c r="I549" s="1675"/>
      <c r="J549" s="1675"/>
      <c r="K549" s="1675"/>
      <c r="L549" s="1675"/>
      <c r="M549" s="1676"/>
      <c r="N549" s="1676"/>
      <c r="O549" s="1676"/>
      <c r="P549" s="1675"/>
      <c r="Q549" s="1675"/>
      <c r="R549" s="1675"/>
      <c r="S549" s="1675"/>
      <c r="T549" s="1675"/>
      <c r="U549" s="1675"/>
      <c r="V549" s="1675"/>
      <c r="W549" s="1675"/>
      <c r="X549" s="1675"/>
      <c r="Y549" s="1675"/>
      <c r="Z549" s="1675"/>
      <c r="AA549" s="1675"/>
    </row>
    <row r="550" spans="1:27" ht="13.5" customHeight="1" x14ac:dyDescent="0.3">
      <c r="A550" s="1675"/>
      <c r="B550" s="1675"/>
      <c r="C550" s="1678"/>
      <c r="D550" s="1771"/>
      <c r="E550" s="1771"/>
      <c r="F550" s="1771"/>
      <c r="G550" s="1689"/>
      <c r="H550" s="1674"/>
      <c r="I550" s="1675"/>
      <c r="J550" s="1675"/>
      <c r="K550" s="1675"/>
      <c r="L550" s="1675"/>
      <c r="M550" s="1676"/>
      <c r="N550" s="1676"/>
      <c r="O550" s="1676"/>
      <c r="P550" s="1675"/>
      <c r="Q550" s="1675"/>
      <c r="R550" s="1675"/>
      <c r="S550" s="1675"/>
      <c r="T550" s="1675"/>
      <c r="U550" s="1675"/>
      <c r="V550" s="1675"/>
      <c r="W550" s="1675"/>
      <c r="X550" s="1675"/>
      <c r="Y550" s="1675"/>
      <c r="Z550" s="1675"/>
      <c r="AA550" s="1675"/>
    </row>
    <row r="551" spans="1:27" ht="13.5" customHeight="1" x14ac:dyDescent="0.3">
      <c r="A551" s="1675"/>
      <c r="B551" s="1675"/>
      <c r="C551" s="1678"/>
      <c r="D551" s="1771"/>
      <c r="E551" s="1771"/>
      <c r="F551" s="1771"/>
      <c r="G551" s="1689"/>
      <c r="H551" s="1674"/>
      <c r="I551" s="1675"/>
      <c r="J551" s="1675"/>
      <c r="K551" s="1675"/>
      <c r="L551" s="1675"/>
      <c r="M551" s="1676"/>
      <c r="N551" s="1676"/>
      <c r="O551" s="1676"/>
      <c r="P551" s="1675"/>
      <c r="Q551" s="1675"/>
      <c r="R551" s="1675"/>
      <c r="S551" s="1675"/>
      <c r="T551" s="1675"/>
      <c r="U551" s="1675"/>
      <c r="V551" s="1675"/>
      <c r="W551" s="1675"/>
      <c r="X551" s="1675"/>
      <c r="Y551" s="1675"/>
      <c r="Z551" s="1675"/>
      <c r="AA551" s="1675"/>
    </row>
    <row r="552" spans="1:27" ht="13.5" customHeight="1" x14ac:dyDescent="0.3">
      <c r="A552" s="1675"/>
      <c r="B552" s="1675"/>
      <c r="C552" s="1678"/>
      <c r="D552" s="1771"/>
      <c r="E552" s="1771"/>
      <c r="F552" s="1771"/>
      <c r="G552" s="1689"/>
      <c r="H552" s="1674"/>
      <c r="I552" s="1675"/>
      <c r="J552" s="1675"/>
      <c r="K552" s="1675"/>
      <c r="L552" s="1675"/>
      <c r="M552" s="1676"/>
      <c r="N552" s="1676"/>
      <c r="O552" s="1676"/>
      <c r="P552" s="1675"/>
      <c r="Q552" s="1675"/>
      <c r="R552" s="1675"/>
      <c r="S552" s="1675"/>
      <c r="T552" s="1675"/>
      <c r="U552" s="1675"/>
      <c r="V552" s="1675"/>
      <c r="W552" s="1675"/>
      <c r="X552" s="1675"/>
      <c r="Y552" s="1675"/>
      <c r="Z552" s="1675"/>
      <c r="AA552" s="1675"/>
    </row>
    <row r="553" spans="1:27" ht="13.5" customHeight="1" x14ac:dyDescent="0.3">
      <c r="A553" s="1675"/>
      <c r="B553" s="1675"/>
      <c r="C553" s="1678"/>
      <c r="D553" s="1771"/>
      <c r="E553" s="1771"/>
      <c r="F553" s="1771"/>
      <c r="G553" s="1689"/>
      <c r="H553" s="1674"/>
      <c r="I553" s="1675"/>
      <c r="J553" s="1675"/>
      <c r="K553" s="1675"/>
      <c r="L553" s="1675"/>
      <c r="M553" s="1676"/>
      <c r="N553" s="1676"/>
      <c r="O553" s="1676"/>
      <c r="P553" s="1675"/>
      <c r="Q553" s="1675"/>
      <c r="R553" s="1675"/>
      <c r="S553" s="1675"/>
      <c r="T553" s="1675"/>
      <c r="U553" s="1675"/>
      <c r="V553" s="1675"/>
      <c r="W553" s="1675"/>
      <c r="X553" s="1675"/>
      <c r="Y553" s="1675"/>
      <c r="Z553" s="1675"/>
      <c r="AA553" s="1675"/>
    </row>
    <row r="554" spans="1:27" ht="13.5" customHeight="1" x14ac:dyDescent="0.3">
      <c r="A554" s="1675"/>
      <c r="B554" s="1675"/>
      <c r="C554" s="1678"/>
      <c r="D554" s="1771"/>
      <c r="E554" s="1771"/>
      <c r="F554" s="1771"/>
      <c r="G554" s="1689"/>
      <c r="H554" s="1674"/>
      <c r="I554" s="1675"/>
      <c r="J554" s="1675"/>
      <c r="K554" s="1675"/>
      <c r="L554" s="1675"/>
      <c r="M554" s="1676"/>
      <c r="N554" s="1676"/>
      <c r="O554" s="1676"/>
      <c r="P554" s="1675"/>
      <c r="Q554" s="1675"/>
      <c r="R554" s="1675"/>
      <c r="S554" s="1675"/>
      <c r="T554" s="1675"/>
      <c r="U554" s="1675"/>
      <c r="V554" s="1675"/>
      <c r="W554" s="1675"/>
      <c r="X554" s="1675"/>
      <c r="Y554" s="1675"/>
      <c r="Z554" s="1675"/>
      <c r="AA554" s="1675"/>
    </row>
    <row r="555" spans="1:27" ht="13.5" customHeight="1" x14ac:dyDescent="0.3">
      <c r="A555" s="1675"/>
      <c r="B555" s="1675"/>
      <c r="C555" s="1678"/>
      <c r="D555" s="1771"/>
      <c r="E555" s="1771"/>
      <c r="F555" s="1771"/>
      <c r="G555" s="1689"/>
      <c r="H555" s="1674"/>
      <c r="I555" s="1675"/>
      <c r="J555" s="1675"/>
      <c r="K555" s="1675"/>
      <c r="L555" s="1675"/>
      <c r="M555" s="1676"/>
      <c r="N555" s="1676"/>
      <c r="O555" s="1676"/>
      <c r="P555" s="1675"/>
      <c r="Q555" s="1675"/>
      <c r="R555" s="1675"/>
      <c r="S555" s="1675"/>
      <c r="T555" s="1675"/>
      <c r="U555" s="1675"/>
      <c r="V555" s="1675"/>
      <c r="W555" s="1675"/>
      <c r="X555" s="1675"/>
      <c r="Y555" s="1675"/>
      <c r="Z555" s="1675"/>
      <c r="AA555" s="1675"/>
    </row>
    <row r="556" spans="1:27" ht="13.5" customHeight="1" x14ac:dyDescent="0.3">
      <c r="A556" s="1675"/>
      <c r="B556" s="1675"/>
      <c r="C556" s="1678"/>
      <c r="D556" s="1771"/>
      <c r="E556" s="1771"/>
      <c r="F556" s="1771"/>
      <c r="G556" s="1689"/>
      <c r="H556" s="1674"/>
      <c r="I556" s="1675"/>
      <c r="J556" s="1675"/>
      <c r="K556" s="1675"/>
      <c r="L556" s="1675"/>
      <c r="M556" s="1676"/>
      <c r="N556" s="1676"/>
      <c r="O556" s="1676"/>
      <c r="P556" s="1675"/>
      <c r="Q556" s="1675"/>
      <c r="R556" s="1675"/>
      <c r="S556" s="1675"/>
      <c r="T556" s="1675"/>
      <c r="U556" s="1675"/>
      <c r="V556" s="1675"/>
      <c r="W556" s="1675"/>
      <c r="X556" s="1675"/>
      <c r="Y556" s="1675"/>
      <c r="Z556" s="1675"/>
      <c r="AA556" s="1675"/>
    </row>
    <row r="557" spans="1:27" ht="13.5" customHeight="1" x14ac:dyDescent="0.3">
      <c r="A557" s="1675"/>
      <c r="B557" s="1675"/>
      <c r="C557" s="1678"/>
      <c r="D557" s="1771"/>
      <c r="E557" s="1771"/>
      <c r="F557" s="1771"/>
      <c r="G557" s="1689"/>
      <c r="H557" s="1674"/>
      <c r="I557" s="1675"/>
      <c r="J557" s="1675"/>
      <c r="K557" s="1675"/>
      <c r="L557" s="1675"/>
      <c r="M557" s="1676"/>
      <c r="N557" s="1676"/>
      <c r="O557" s="1676"/>
      <c r="P557" s="1675"/>
      <c r="Q557" s="1675"/>
      <c r="R557" s="1675"/>
      <c r="S557" s="1675"/>
      <c r="T557" s="1675"/>
      <c r="U557" s="1675"/>
      <c r="V557" s="1675"/>
      <c r="W557" s="1675"/>
      <c r="X557" s="1675"/>
      <c r="Y557" s="1675"/>
      <c r="Z557" s="1675"/>
      <c r="AA557" s="1675"/>
    </row>
    <row r="558" spans="1:27" ht="13.5" customHeight="1" x14ac:dyDescent="0.3">
      <c r="A558" s="1675"/>
      <c r="B558" s="1675"/>
      <c r="C558" s="1678"/>
      <c r="D558" s="1771"/>
      <c r="E558" s="1771"/>
      <c r="F558" s="1771"/>
      <c r="G558" s="1689"/>
      <c r="H558" s="1674"/>
      <c r="I558" s="1675"/>
      <c r="J558" s="1675"/>
      <c r="K558" s="1675"/>
      <c r="L558" s="1675"/>
      <c r="M558" s="1676"/>
      <c r="N558" s="1676"/>
      <c r="O558" s="1676"/>
      <c r="P558" s="1675"/>
      <c r="Q558" s="1675"/>
      <c r="R558" s="1675"/>
      <c r="S558" s="1675"/>
      <c r="T558" s="1675"/>
      <c r="U558" s="1675"/>
      <c r="V558" s="1675"/>
      <c r="W558" s="1675"/>
      <c r="X558" s="1675"/>
      <c r="Y558" s="1675"/>
      <c r="Z558" s="1675"/>
      <c r="AA558" s="1675"/>
    </row>
    <row r="559" spans="1:27" ht="13.5" customHeight="1" x14ac:dyDescent="0.3">
      <c r="A559" s="1675"/>
      <c r="B559" s="1675"/>
      <c r="C559" s="1678"/>
      <c r="D559" s="1771"/>
      <c r="E559" s="1771"/>
      <c r="F559" s="1771"/>
      <c r="G559" s="1689"/>
      <c r="H559" s="1674"/>
      <c r="I559" s="1675"/>
      <c r="J559" s="1675"/>
      <c r="K559" s="1675"/>
      <c r="L559" s="1675"/>
      <c r="M559" s="1676"/>
      <c r="N559" s="1676"/>
      <c r="O559" s="1676"/>
      <c r="P559" s="1675"/>
      <c r="Q559" s="1675"/>
      <c r="R559" s="1675"/>
      <c r="S559" s="1675"/>
      <c r="T559" s="1675"/>
      <c r="U559" s="1675"/>
      <c r="V559" s="1675"/>
      <c r="W559" s="1675"/>
      <c r="X559" s="1675"/>
      <c r="Y559" s="1675"/>
      <c r="Z559" s="1675"/>
      <c r="AA559" s="1675"/>
    </row>
    <row r="560" spans="1:27" ht="13.5" customHeight="1" x14ac:dyDescent="0.3">
      <c r="A560" s="1675"/>
      <c r="B560" s="1675"/>
      <c r="C560" s="1678"/>
      <c r="D560" s="1771"/>
      <c r="E560" s="1771"/>
      <c r="F560" s="1771"/>
      <c r="G560" s="1689"/>
      <c r="H560" s="1674"/>
      <c r="I560" s="1675"/>
      <c r="J560" s="1675"/>
      <c r="K560" s="1675"/>
      <c r="L560" s="1675"/>
      <c r="M560" s="1676"/>
      <c r="N560" s="1676"/>
      <c r="O560" s="1676"/>
      <c r="P560" s="1675"/>
      <c r="Q560" s="1675"/>
      <c r="R560" s="1675"/>
      <c r="S560" s="1675"/>
      <c r="T560" s="1675"/>
      <c r="U560" s="1675"/>
      <c r="V560" s="1675"/>
      <c r="W560" s="1675"/>
      <c r="X560" s="1675"/>
      <c r="Y560" s="1675"/>
      <c r="Z560" s="1675"/>
      <c r="AA560" s="1675"/>
    </row>
    <row r="561" spans="1:27" ht="13.5" customHeight="1" x14ac:dyDescent="0.3">
      <c r="A561" s="1675"/>
      <c r="B561" s="1675"/>
      <c r="C561" s="1678"/>
      <c r="D561" s="1771"/>
      <c r="E561" s="1771"/>
      <c r="F561" s="1771"/>
      <c r="G561" s="1689"/>
      <c r="H561" s="1674"/>
      <c r="I561" s="1675"/>
      <c r="J561" s="1675"/>
      <c r="K561" s="1675"/>
      <c r="L561" s="1675"/>
      <c r="M561" s="1676"/>
      <c r="N561" s="1676"/>
      <c r="O561" s="1676"/>
      <c r="P561" s="1675"/>
      <c r="Q561" s="1675"/>
      <c r="R561" s="1675"/>
      <c r="S561" s="1675"/>
      <c r="T561" s="1675"/>
      <c r="U561" s="1675"/>
      <c r="V561" s="1675"/>
      <c r="W561" s="1675"/>
      <c r="X561" s="1675"/>
      <c r="Y561" s="1675"/>
      <c r="Z561" s="1675"/>
      <c r="AA561" s="1675"/>
    </row>
    <row r="562" spans="1:27" ht="13.5" customHeight="1" x14ac:dyDescent="0.3">
      <c r="A562" s="1675"/>
      <c r="B562" s="1675"/>
      <c r="C562" s="1678"/>
      <c r="D562" s="1771"/>
      <c r="E562" s="1771"/>
      <c r="F562" s="1771"/>
      <c r="G562" s="1689"/>
      <c r="H562" s="1674"/>
      <c r="I562" s="1675"/>
      <c r="J562" s="1675"/>
      <c r="K562" s="1675"/>
      <c r="L562" s="1675"/>
      <c r="M562" s="1676"/>
      <c r="N562" s="1676"/>
      <c r="O562" s="1676"/>
      <c r="P562" s="1675"/>
      <c r="Q562" s="1675"/>
      <c r="R562" s="1675"/>
      <c r="S562" s="1675"/>
      <c r="T562" s="1675"/>
      <c r="U562" s="1675"/>
      <c r="V562" s="1675"/>
      <c r="W562" s="1675"/>
      <c r="X562" s="1675"/>
      <c r="Y562" s="1675"/>
      <c r="Z562" s="1675"/>
      <c r="AA562" s="1675"/>
    </row>
    <row r="563" spans="1:27" ht="13.5" customHeight="1" x14ac:dyDescent="0.3">
      <c r="A563" s="1675"/>
      <c r="B563" s="1675"/>
      <c r="C563" s="1678"/>
      <c r="D563" s="1771"/>
      <c r="E563" s="1771"/>
      <c r="F563" s="1771"/>
      <c r="G563" s="1689"/>
      <c r="H563" s="1674"/>
      <c r="I563" s="1675"/>
      <c r="J563" s="1675"/>
      <c r="K563" s="1675"/>
      <c r="L563" s="1675"/>
      <c r="M563" s="1676"/>
      <c r="N563" s="1676"/>
      <c r="O563" s="1676"/>
      <c r="P563" s="1675"/>
      <c r="Q563" s="1675"/>
      <c r="R563" s="1675"/>
      <c r="S563" s="1675"/>
      <c r="T563" s="1675"/>
      <c r="U563" s="1675"/>
      <c r="V563" s="1675"/>
      <c r="W563" s="1675"/>
      <c r="X563" s="1675"/>
      <c r="Y563" s="1675"/>
      <c r="Z563" s="1675"/>
      <c r="AA563" s="1675"/>
    </row>
    <row r="564" spans="1:27" ht="13.5" customHeight="1" x14ac:dyDescent="0.3">
      <c r="A564" s="1675"/>
      <c r="B564" s="1675"/>
      <c r="C564" s="1678"/>
      <c r="D564" s="1771"/>
      <c r="E564" s="1771"/>
      <c r="F564" s="1771"/>
      <c r="G564" s="1689"/>
      <c r="H564" s="1674"/>
      <c r="I564" s="1675"/>
      <c r="J564" s="1675"/>
      <c r="K564" s="1675"/>
      <c r="L564" s="1675"/>
      <c r="M564" s="1676"/>
      <c r="N564" s="1676"/>
      <c r="O564" s="1676"/>
      <c r="P564" s="1675"/>
      <c r="Q564" s="1675"/>
      <c r="R564" s="1675"/>
      <c r="S564" s="1675"/>
      <c r="T564" s="1675"/>
      <c r="U564" s="1675"/>
      <c r="V564" s="1675"/>
      <c r="W564" s="1675"/>
      <c r="X564" s="1675"/>
      <c r="Y564" s="1675"/>
      <c r="Z564" s="1675"/>
      <c r="AA564" s="1675"/>
    </row>
    <row r="565" spans="1:27" ht="13.5" customHeight="1" x14ac:dyDescent="0.3">
      <c r="A565" s="1675"/>
      <c r="B565" s="1675"/>
      <c r="C565" s="1678"/>
      <c r="D565" s="1771"/>
      <c r="E565" s="1771"/>
      <c r="F565" s="1771"/>
      <c r="G565" s="1689"/>
      <c r="H565" s="1674"/>
      <c r="I565" s="1675"/>
      <c r="J565" s="1675"/>
      <c r="K565" s="1675"/>
      <c r="L565" s="1675"/>
      <c r="M565" s="1676"/>
      <c r="N565" s="1676"/>
      <c r="O565" s="1676"/>
      <c r="P565" s="1675"/>
      <c r="Q565" s="1675"/>
      <c r="R565" s="1675"/>
      <c r="S565" s="1675"/>
      <c r="T565" s="1675"/>
      <c r="U565" s="1675"/>
      <c r="V565" s="1675"/>
      <c r="W565" s="1675"/>
      <c r="X565" s="1675"/>
      <c r="Y565" s="1675"/>
      <c r="Z565" s="1675"/>
      <c r="AA565" s="1675"/>
    </row>
    <row r="566" spans="1:27" ht="13.5" customHeight="1" x14ac:dyDescent="0.3">
      <c r="A566" s="1675"/>
      <c r="B566" s="1675"/>
      <c r="C566" s="1678"/>
      <c r="D566" s="1771"/>
      <c r="E566" s="1771"/>
      <c r="F566" s="1771"/>
      <c r="G566" s="1689"/>
      <c r="H566" s="1674"/>
      <c r="I566" s="1675"/>
      <c r="J566" s="1675"/>
      <c r="K566" s="1675"/>
      <c r="L566" s="1675"/>
      <c r="M566" s="1676"/>
      <c r="N566" s="1676"/>
      <c r="O566" s="1676"/>
      <c r="P566" s="1675"/>
      <c r="Q566" s="1675"/>
      <c r="R566" s="1675"/>
      <c r="S566" s="1675"/>
      <c r="T566" s="1675"/>
      <c r="U566" s="1675"/>
      <c r="V566" s="1675"/>
      <c r="W566" s="1675"/>
      <c r="X566" s="1675"/>
      <c r="Y566" s="1675"/>
      <c r="Z566" s="1675"/>
      <c r="AA566" s="1675"/>
    </row>
    <row r="567" spans="1:27" ht="13.5" customHeight="1" x14ac:dyDescent="0.3">
      <c r="A567" s="1675"/>
      <c r="B567" s="1675"/>
      <c r="C567" s="1678"/>
      <c r="D567" s="1771"/>
      <c r="E567" s="1771"/>
      <c r="F567" s="1771"/>
      <c r="G567" s="1689"/>
      <c r="H567" s="1674"/>
      <c r="I567" s="1675"/>
      <c r="J567" s="1675"/>
      <c r="K567" s="1675"/>
      <c r="L567" s="1675"/>
      <c r="M567" s="1676"/>
      <c r="N567" s="1676"/>
      <c r="O567" s="1676"/>
      <c r="P567" s="1675"/>
      <c r="Q567" s="1675"/>
      <c r="R567" s="1675"/>
      <c r="S567" s="1675"/>
      <c r="T567" s="1675"/>
      <c r="U567" s="1675"/>
      <c r="V567" s="1675"/>
      <c r="W567" s="1675"/>
      <c r="X567" s="1675"/>
      <c r="Y567" s="1675"/>
      <c r="Z567" s="1675"/>
      <c r="AA567" s="1675"/>
    </row>
    <row r="568" spans="1:27" ht="13.5" customHeight="1" x14ac:dyDescent="0.3">
      <c r="A568" s="1675"/>
      <c r="B568" s="1675"/>
      <c r="C568" s="1678"/>
      <c r="D568" s="1771"/>
      <c r="E568" s="1771"/>
      <c r="F568" s="1771"/>
      <c r="G568" s="1689"/>
      <c r="H568" s="1674"/>
      <c r="I568" s="1675"/>
      <c r="J568" s="1675"/>
      <c r="K568" s="1675"/>
      <c r="L568" s="1675"/>
      <c r="M568" s="1676"/>
      <c r="N568" s="1676"/>
      <c r="O568" s="1676"/>
      <c r="P568" s="1675"/>
      <c r="Q568" s="1675"/>
      <c r="R568" s="1675"/>
      <c r="S568" s="1675"/>
      <c r="T568" s="1675"/>
      <c r="U568" s="1675"/>
      <c r="V568" s="1675"/>
      <c r="W568" s="1675"/>
      <c r="X568" s="1675"/>
      <c r="Y568" s="1675"/>
      <c r="Z568" s="1675"/>
      <c r="AA568" s="1675"/>
    </row>
    <row r="569" spans="1:27" ht="13.5" customHeight="1" x14ac:dyDescent="0.3">
      <c r="A569" s="1675"/>
      <c r="B569" s="1675"/>
      <c r="C569" s="1678"/>
      <c r="D569" s="1771"/>
      <c r="E569" s="1771"/>
      <c r="F569" s="1771"/>
      <c r="G569" s="1689"/>
      <c r="H569" s="1674"/>
      <c r="I569" s="1675"/>
      <c r="J569" s="1675"/>
      <c r="K569" s="1675"/>
      <c r="L569" s="1675"/>
      <c r="M569" s="1676"/>
      <c r="N569" s="1676"/>
      <c r="O569" s="1676"/>
      <c r="P569" s="1675"/>
      <c r="Q569" s="1675"/>
      <c r="R569" s="1675"/>
      <c r="S569" s="1675"/>
      <c r="T569" s="1675"/>
      <c r="U569" s="1675"/>
      <c r="V569" s="1675"/>
      <c r="W569" s="1675"/>
      <c r="X569" s="1675"/>
      <c r="Y569" s="1675"/>
      <c r="Z569" s="1675"/>
      <c r="AA569" s="1675"/>
    </row>
    <row r="570" spans="1:27" ht="13.5" customHeight="1" x14ac:dyDescent="0.3">
      <c r="A570" s="1675"/>
      <c r="B570" s="1675"/>
      <c r="C570" s="1678"/>
      <c r="D570" s="1771"/>
      <c r="E570" s="1771"/>
      <c r="F570" s="1771"/>
      <c r="G570" s="1689"/>
      <c r="H570" s="1674"/>
      <c r="I570" s="1675"/>
      <c r="J570" s="1675"/>
      <c r="K570" s="1675"/>
      <c r="L570" s="1675"/>
      <c r="M570" s="1676"/>
      <c r="N570" s="1676"/>
      <c r="O570" s="1676"/>
      <c r="P570" s="1675"/>
      <c r="Q570" s="1675"/>
      <c r="R570" s="1675"/>
      <c r="S570" s="1675"/>
      <c r="T570" s="1675"/>
      <c r="U570" s="1675"/>
      <c r="V570" s="1675"/>
      <c r="W570" s="1675"/>
      <c r="X570" s="1675"/>
      <c r="Y570" s="1675"/>
      <c r="Z570" s="1675"/>
      <c r="AA570" s="1675"/>
    </row>
    <row r="571" spans="1:27" ht="13.5" customHeight="1" x14ac:dyDescent="0.3">
      <c r="A571" s="1675"/>
      <c r="B571" s="1675"/>
      <c r="C571" s="1678"/>
      <c r="D571" s="1771"/>
      <c r="E571" s="1771"/>
      <c r="F571" s="1771"/>
      <c r="G571" s="1689"/>
      <c r="H571" s="1674"/>
      <c r="I571" s="1675"/>
      <c r="J571" s="1675"/>
      <c r="K571" s="1675"/>
      <c r="L571" s="1675"/>
      <c r="M571" s="1676"/>
      <c r="N571" s="1676"/>
      <c r="O571" s="1676"/>
      <c r="P571" s="1675"/>
      <c r="Q571" s="1675"/>
      <c r="R571" s="1675"/>
      <c r="S571" s="1675"/>
      <c r="T571" s="1675"/>
      <c r="U571" s="1675"/>
      <c r="V571" s="1675"/>
      <c r="W571" s="1675"/>
      <c r="X571" s="1675"/>
      <c r="Y571" s="1675"/>
      <c r="Z571" s="1675"/>
      <c r="AA571" s="1675"/>
    </row>
    <row r="572" spans="1:27" ht="13.5" customHeight="1" x14ac:dyDescent="0.3">
      <c r="A572" s="1675"/>
      <c r="B572" s="1675"/>
      <c r="C572" s="1678"/>
      <c r="D572" s="1771"/>
      <c r="E572" s="1771"/>
      <c r="F572" s="1771"/>
      <c r="G572" s="1689"/>
      <c r="H572" s="1674"/>
      <c r="I572" s="1675"/>
      <c r="J572" s="1675"/>
      <c r="K572" s="1675"/>
      <c r="L572" s="1675"/>
      <c r="M572" s="1676"/>
      <c r="N572" s="1676"/>
      <c r="O572" s="1676"/>
      <c r="P572" s="1675"/>
      <c r="Q572" s="1675"/>
      <c r="R572" s="1675"/>
      <c r="S572" s="1675"/>
      <c r="T572" s="1675"/>
      <c r="U572" s="1675"/>
      <c r="V572" s="1675"/>
      <c r="W572" s="1675"/>
      <c r="X572" s="1675"/>
      <c r="Y572" s="1675"/>
      <c r="Z572" s="1675"/>
      <c r="AA572" s="1675"/>
    </row>
    <row r="573" spans="1:27" ht="13.5" customHeight="1" x14ac:dyDescent="0.3">
      <c r="A573" s="1675"/>
      <c r="B573" s="1675"/>
      <c r="C573" s="1678"/>
      <c r="D573" s="1771"/>
      <c r="E573" s="1771"/>
      <c r="F573" s="1771"/>
      <c r="G573" s="1689"/>
      <c r="H573" s="1674"/>
      <c r="I573" s="1675"/>
      <c r="J573" s="1675"/>
      <c r="K573" s="1675"/>
      <c r="L573" s="1675"/>
      <c r="M573" s="1676"/>
      <c r="N573" s="1676"/>
      <c r="O573" s="1676"/>
      <c r="P573" s="1675"/>
      <c r="Q573" s="1675"/>
      <c r="R573" s="1675"/>
      <c r="S573" s="1675"/>
      <c r="T573" s="1675"/>
      <c r="U573" s="1675"/>
      <c r="V573" s="1675"/>
      <c r="W573" s="1675"/>
      <c r="X573" s="1675"/>
      <c r="Y573" s="1675"/>
      <c r="Z573" s="1675"/>
      <c r="AA573" s="1675"/>
    </row>
    <row r="574" spans="1:27" ht="13.5" customHeight="1" x14ac:dyDescent="0.3">
      <c r="A574" s="1675"/>
      <c r="B574" s="1675"/>
      <c r="C574" s="1678"/>
      <c r="D574" s="1771"/>
      <c r="E574" s="1771"/>
      <c r="F574" s="1771"/>
      <c r="G574" s="1689"/>
      <c r="H574" s="1674"/>
      <c r="I574" s="1675"/>
      <c r="J574" s="1675"/>
      <c r="K574" s="1675"/>
      <c r="L574" s="1675"/>
      <c r="M574" s="1676"/>
      <c r="N574" s="1676"/>
      <c r="O574" s="1676"/>
      <c r="P574" s="1675"/>
      <c r="Q574" s="1675"/>
      <c r="R574" s="1675"/>
      <c r="S574" s="1675"/>
      <c r="T574" s="1675"/>
      <c r="U574" s="1675"/>
      <c r="V574" s="1675"/>
      <c r="W574" s="1675"/>
      <c r="X574" s="1675"/>
      <c r="Y574" s="1675"/>
      <c r="Z574" s="1675"/>
      <c r="AA574" s="1675"/>
    </row>
    <row r="575" spans="1:27" ht="13.5" customHeight="1" x14ac:dyDescent="0.3">
      <c r="A575" s="1675"/>
      <c r="B575" s="1675"/>
      <c r="C575" s="1678"/>
      <c r="D575" s="1771"/>
      <c r="E575" s="1771"/>
      <c r="F575" s="1771"/>
      <c r="G575" s="1689"/>
      <c r="H575" s="1674"/>
      <c r="I575" s="1675"/>
      <c r="J575" s="1675"/>
      <c r="K575" s="1675"/>
      <c r="L575" s="1675"/>
      <c r="M575" s="1676"/>
      <c r="N575" s="1676"/>
      <c r="O575" s="1676"/>
      <c r="P575" s="1675"/>
      <c r="Q575" s="1675"/>
      <c r="R575" s="1675"/>
      <c r="S575" s="1675"/>
      <c r="T575" s="1675"/>
      <c r="U575" s="1675"/>
      <c r="V575" s="1675"/>
      <c r="W575" s="1675"/>
      <c r="X575" s="1675"/>
      <c r="Y575" s="1675"/>
      <c r="Z575" s="1675"/>
      <c r="AA575" s="1675"/>
    </row>
    <row r="576" spans="1:27" ht="13.5" customHeight="1" x14ac:dyDescent="0.3">
      <c r="A576" s="1675"/>
      <c r="B576" s="1675"/>
      <c r="C576" s="1678"/>
      <c r="D576" s="1771"/>
      <c r="E576" s="1771"/>
      <c r="F576" s="1771"/>
      <c r="G576" s="1689"/>
      <c r="H576" s="1674"/>
      <c r="I576" s="1675"/>
      <c r="J576" s="1675"/>
      <c r="K576" s="1675"/>
      <c r="L576" s="1675"/>
      <c r="M576" s="1676"/>
      <c r="N576" s="1676"/>
      <c r="O576" s="1676"/>
      <c r="P576" s="1675"/>
      <c r="Q576" s="1675"/>
      <c r="R576" s="1675"/>
      <c r="S576" s="1675"/>
      <c r="T576" s="1675"/>
      <c r="U576" s="1675"/>
      <c r="V576" s="1675"/>
      <c r="W576" s="1675"/>
      <c r="X576" s="1675"/>
      <c r="Y576" s="1675"/>
      <c r="Z576" s="1675"/>
      <c r="AA576" s="1675"/>
    </row>
    <row r="577" spans="1:27" ht="13.5" customHeight="1" x14ac:dyDescent="0.3">
      <c r="A577" s="1675"/>
      <c r="B577" s="1675"/>
      <c r="C577" s="1678"/>
      <c r="D577" s="1771"/>
      <c r="E577" s="1771"/>
      <c r="F577" s="1771"/>
      <c r="G577" s="1689"/>
      <c r="H577" s="1674"/>
      <c r="I577" s="1675"/>
      <c r="J577" s="1675"/>
      <c r="K577" s="1675"/>
      <c r="L577" s="1675"/>
      <c r="M577" s="1676"/>
      <c r="N577" s="1676"/>
      <c r="O577" s="1676"/>
      <c r="P577" s="1675"/>
      <c r="Q577" s="1675"/>
      <c r="R577" s="1675"/>
      <c r="S577" s="1675"/>
      <c r="T577" s="1675"/>
      <c r="U577" s="1675"/>
      <c r="V577" s="1675"/>
      <c r="W577" s="1675"/>
      <c r="X577" s="1675"/>
      <c r="Y577" s="1675"/>
      <c r="Z577" s="1675"/>
      <c r="AA577" s="1675"/>
    </row>
    <row r="578" spans="1:27" ht="13.5" customHeight="1" x14ac:dyDescent="0.3">
      <c r="A578" s="1675"/>
      <c r="B578" s="1675"/>
      <c r="C578" s="1678"/>
      <c r="D578" s="1771"/>
      <c r="E578" s="1771"/>
      <c r="F578" s="1771"/>
      <c r="G578" s="1689"/>
      <c r="H578" s="1674"/>
      <c r="I578" s="1675"/>
      <c r="J578" s="1675"/>
      <c r="K578" s="1675"/>
      <c r="L578" s="1675"/>
      <c r="M578" s="1676"/>
      <c r="N578" s="1676"/>
      <c r="O578" s="1676"/>
      <c r="P578" s="1675"/>
      <c r="Q578" s="1675"/>
      <c r="R578" s="1675"/>
      <c r="S578" s="1675"/>
      <c r="T578" s="1675"/>
      <c r="U578" s="1675"/>
      <c r="V578" s="1675"/>
      <c r="W578" s="1675"/>
      <c r="X578" s="1675"/>
      <c r="Y578" s="1675"/>
      <c r="Z578" s="1675"/>
      <c r="AA578" s="1675"/>
    </row>
    <row r="579" spans="1:27" ht="13.5" customHeight="1" x14ac:dyDescent="0.3">
      <c r="A579" s="1675"/>
      <c r="B579" s="1675"/>
      <c r="C579" s="1678"/>
      <c r="D579" s="1771"/>
      <c r="E579" s="1771"/>
      <c r="F579" s="1771"/>
      <c r="G579" s="1689"/>
      <c r="H579" s="1674"/>
      <c r="I579" s="1675"/>
      <c r="J579" s="1675"/>
      <c r="K579" s="1675"/>
      <c r="L579" s="1675"/>
      <c r="M579" s="1676"/>
      <c r="N579" s="1676"/>
      <c r="O579" s="1676"/>
      <c r="P579" s="1675"/>
      <c r="Q579" s="1675"/>
      <c r="R579" s="1675"/>
      <c r="S579" s="1675"/>
      <c r="T579" s="1675"/>
      <c r="U579" s="1675"/>
      <c r="V579" s="1675"/>
      <c r="W579" s="1675"/>
      <c r="X579" s="1675"/>
      <c r="Y579" s="1675"/>
      <c r="Z579" s="1675"/>
      <c r="AA579" s="1675"/>
    </row>
    <row r="580" spans="1:27" ht="13.5" customHeight="1" x14ac:dyDescent="0.3">
      <c r="A580" s="1675"/>
      <c r="B580" s="1675"/>
      <c r="C580" s="1678"/>
      <c r="D580" s="1771"/>
      <c r="E580" s="1771"/>
      <c r="F580" s="1771"/>
      <c r="G580" s="1689"/>
      <c r="H580" s="1674"/>
      <c r="I580" s="1675"/>
      <c r="J580" s="1675"/>
      <c r="K580" s="1675"/>
      <c r="L580" s="1675"/>
      <c r="M580" s="1676"/>
      <c r="N580" s="1676"/>
      <c r="O580" s="1676"/>
      <c r="P580" s="1675"/>
      <c r="Q580" s="1675"/>
      <c r="R580" s="1675"/>
      <c r="S580" s="1675"/>
      <c r="T580" s="1675"/>
      <c r="U580" s="1675"/>
      <c r="V580" s="1675"/>
      <c r="W580" s="1675"/>
      <c r="X580" s="1675"/>
      <c r="Y580" s="1675"/>
      <c r="Z580" s="1675"/>
      <c r="AA580" s="1675"/>
    </row>
    <row r="581" spans="1:27" ht="13.5" customHeight="1" x14ac:dyDescent="0.3">
      <c r="A581" s="1675"/>
      <c r="B581" s="1675"/>
      <c r="C581" s="1678"/>
      <c r="D581" s="1771"/>
      <c r="E581" s="1771"/>
      <c r="F581" s="1771"/>
      <c r="G581" s="1689"/>
      <c r="H581" s="1674"/>
      <c r="I581" s="1675"/>
      <c r="J581" s="1675"/>
      <c r="K581" s="1675"/>
      <c r="L581" s="1675"/>
      <c r="M581" s="1676"/>
      <c r="N581" s="1676"/>
      <c r="O581" s="1676"/>
      <c r="P581" s="1675"/>
      <c r="Q581" s="1675"/>
      <c r="R581" s="1675"/>
      <c r="S581" s="1675"/>
      <c r="T581" s="1675"/>
      <c r="U581" s="1675"/>
      <c r="V581" s="1675"/>
      <c r="W581" s="1675"/>
      <c r="X581" s="1675"/>
      <c r="Y581" s="1675"/>
      <c r="Z581" s="1675"/>
      <c r="AA581" s="1675"/>
    </row>
    <row r="582" spans="1:27" ht="13.5" customHeight="1" x14ac:dyDescent="0.3">
      <c r="A582" s="1675"/>
      <c r="B582" s="1675"/>
      <c r="C582" s="1678"/>
      <c r="D582" s="1771"/>
      <c r="E582" s="1771"/>
      <c r="F582" s="1771"/>
      <c r="G582" s="1689"/>
      <c r="H582" s="1674"/>
      <c r="I582" s="1675"/>
      <c r="J582" s="1675"/>
      <c r="K582" s="1675"/>
      <c r="L582" s="1675"/>
      <c r="M582" s="1676"/>
      <c r="N582" s="1676"/>
      <c r="O582" s="1676"/>
      <c r="P582" s="1675"/>
      <c r="Q582" s="1675"/>
      <c r="R582" s="1675"/>
      <c r="S582" s="1675"/>
      <c r="T582" s="1675"/>
      <c r="U582" s="1675"/>
      <c r="V582" s="1675"/>
      <c r="W582" s="1675"/>
      <c r="X582" s="1675"/>
      <c r="Y582" s="1675"/>
      <c r="Z582" s="1675"/>
      <c r="AA582" s="1675"/>
    </row>
    <row r="583" spans="1:27" ht="13.5" customHeight="1" x14ac:dyDescent="0.3">
      <c r="A583" s="1675"/>
      <c r="B583" s="1675"/>
      <c r="C583" s="1678"/>
      <c r="D583" s="1771"/>
      <c r="E583" s="1771"/>
      <c r="F583" s="1771"/>
      <c r="G583" s="1689"/>
      <c r="H583" s="1674"/>
      <c r="I583" s="1675"/>
      <c r="J583" s="1675"/>
      <c r="K583" s="1675"/>
      <c r="L583" s="1675"/>
      <c r="M583" s="1676"/>
      <c r="N583" s="1676"/>
      <c r="O583" s="1676"/>
      <c r="P583" s="1675"/>
      <c r="Q583" s="1675"/>
      <c r="R583" s="1675"/>
      <c r="S583" s="1675"/>
      <c r="T583" s="1675"/>
      <c r="U583" s="1675"/>
      <c r="V583" s="1675"/>
      <c r="W583" s="1675"/>
      <c r="X583" s="1675"/>
      <c r="Y583" s="1675"/>
      <c r="Z583" s="1675"/>
      <c r="AA583" s="1675"/>
    </row>
    <row r="584" spans="1:27" ht="13.5" customHeight="1" x14ac:dyDescent="0.3">
      <c r="A584" s="1675"/>
      <c r="B584" s="1675"/>
      <c r="C584" s="1678"/>
      <c r="D584" s="1771"/>
      <c r="E584" s="1771"/>
      <c r="F584" s="1771"/>
      <c r="G584" s="1689"/>
      <c r="H584" s="1674"/>
      <c r="I584" s="1675"/>
      <c r="J584" s="1675"/>
      <c r="K584" s="1675"/>
      <c r="L584" s="1675"/>
      <c r="M584" s="1676"/>
      <c r="N584" s="1676"/>
      <c r="O584" s="1676"/>
      <c r="P584" s="1675"/>
      <c r="Q584" s="1675"/>
      <c r="R584" s="1675"/>
      <c r="S584" s="1675"/>
      <c r="T584" s="1675"/>
      <c r="U584" s="1675"/>
      <c r="V584" s="1675"/>
      <c r="W584" s="1675"/>
      <c r="X584" s="1675"/>
      <c r="Y584" s="1675"/>
      <c r="Z584" s="1675"/>
      <c r="AA584" s="1675"/>
    </row>
    <row r="585" spans="1:27" ht="13.5" customHeight="1" x14ac:dyDescent="0.3">
      <c r="A585" s="1675"/>
      <c r="B585" s="1675"/>
      <c r="C585" s="1678"/>
      <c r="D585" s="1771"/>
      <c r="E585" s="1771"/>
      <c r="F585" s="1771"/>
      <c r="G585" s="1689"/>
      <c r="H585" s="1674"/>
      <c r="I585" s="1675"/>
      <c r="J585" s="1675"/>
      <c r="K585" s="1675"/>
      <c r="L585" s="1675"/>
      <c r="M585" s="1676"/>
      <c r="N585" s="1676"/>
      <c r="O585" s="1676"/>
      <c r="P585" s="1675"/>
      <c r="Q585" s="1675"/>
      <c r="R585" s="1675"/>
      <c r="S585" s="1675"/>
      <c r="T585" s="1675"/>
      <c r="U585" s="1675"/>
      <c r="V585" s="1675"/>
      <c r="W585" s="1675"/>
      <c r="X585" s="1675"/>
      <c r="Y585" s="1675"/>
      <c r="Z585" s="1675"/>
      <c r="AA585" s="1675"/>
    </row>
    <row r="586" spans="1:27" ht="13.5" customHeight="1" x14ac:dyDescent="0.3">
      <c r="A586" s="1675"/>
      <c r="B586" s="1675"/>
      <c r="C586" s="1678"/>
      <c r="D586" s="1771"/>
      <c r="E586" s="1771"/>
      <c r="F586" s="1771"/>
      <c r="G586" s="1689"/>
      <c r="H586" s="1674"/>
      <c r="I586" s="1675"/>
      <c r="J586" s="1675"/>
      <c r="K586" s="1675"/>
      <c r="L586" s="1675"/>
      <c r="M586" s="1676"/>
      <c r="N586" s="1676"/>
      <c r="O586" s="1676"/>
      <c r="P586" s="1675"/>
      <c r="Q586" s="1675"/>
      <c r="R586" s="1675"/>
      <c r="S586" s="1675"/>
      <c r="T586" s="1675"/>
      <c r="U586" s="1675"/>
      <c r="V586" s="1675"/>
      <c r="W586" s="1675"/>
      <c r="X586" s="1675"/>
      <c r="Y586" s="1675"/>
      <c r="Z586" s="1675"/>
      <c r="AA586" s="1675"/>
    </row>
    <row r="587" spans="1:27" ht="13.5" customHeight="1" x14ac:dyDescent="0.3">
      <c r="A587" s="1675"/>
      <c r="B587" s="1675"/>
      <c r="C587" s="1678"/>
      <c r="D587" s="1771"/>
      <c r="E587" s="1771"/>
      <c r="F587" s="1771"/>
      <c r="G587" s="1689"/>
      <c r="H587" s="1674"/>
      <c r="I587" s="1675"/>
      <c r="J587" s="1675"/>
      <c r="K587" s="1675"/>
      <c r="L587" s="1675"/>
      <c r="M587" s="1676"/>
      <c r="N587" s="1676"/>
      <c r="O587" s="1676"/>
      <c r="P587" s="1675"/>
      <c r="Q587" s="1675"/>
      <c r="R587" s="1675"/>
      <c r="S587" s="1675"/>
      <c r="T587" s="1675"/>
      <c r="U587" s="1675"/>
      <c r="V587" s="1675"/>
      <c r="W587" s="1675"/>
      <c r="X587" s="1675"/>
      <c r="Y587" s="1675"/>
      <c r="Z587" s="1675"/>
      <c r="AA587" s="1675"/>
    </row>
    <row r="588" spans="1:27" ht="13.5" customHeight="1" x14ac:dyDescent="0.3">
      <c r="A588" s="1675"/>
      <c r="B588" s="1675"/>
      <c r="C588" s="1678"/>
      <c r="D588" s="1771"/>
      <c r="E588" s="1771"/>
      <c r="F588" s="1771"/>
      <c r="G588" s="1689"/>
      <c r="H588" s="1674"/>
      <c r="I588" s="1675"/>
      <c r="J588" s="1675"/>
      <c r="K588" s="1675"/>
      <c r="L588" s="1675"/>
      <c r="M588" s="1676"/>
      <c r="N588" s="1676"/>
      <c r="O588" s="1676"/>
      <c r="P588" s="1675"/>
      <c r="Q588" s="1675"/>
      <c r="R588" s="1675"/>
      <c r="S588" s="1675"/>
      <c r="T588" s="1675"/>
      <c r="U588" s="1675"/>
      <c r="V588" s="1675"/>
      <c r="W588" s="1675"/>
      <c r="X588" s="1675"/>
      <c r="Y588" s="1675"/>
      <c r="Z588" s="1675"/>
      <c r="AA588" s="1675"/>
    </row>
    <row r="589" spans="1:27" ht="13.5" customHeight="1" x14ac:dyDescent="0.3">
      <c r="A589" s="1675"/>
      <c r="B589" s="1675"/>
      <c r="C589" s="1678"/>
      <c r="D589" s="1771"/>
      <c r="E589" s="1771"/>
      <c r="F589" s="1771"/>
      <c r="G589" s="1689"/>
      <c r="H589" s="1674"/>
      <c r="I589" s="1675"/>
      <c r="J589" s="1675"/>
      <c r="K589" s="1675"/>
      <c r="L589" s="1675"/>
      <c r="M589" s="1676"/>
      <c r="N589" s="1676"/>
      <c r="O589" s="1676"/>
      <c r="P589" s="1675"/>
      <c r="Q589" s="1675"/>
      <c r="R589" s="1675"/>
      <c r="S589" s="1675"/>
      <c r="T589" s="1675"/>
      <c r="U589" s="1675"/>
      <c r="V589" s="1675"/>
      <c r="W589" s="1675"/>
      <c r="X589" s="1675"/>
      <c r="Y589" s="1675"/>
      <c r="Z589" s="1675"/>
      <c r="AA589" s="1675"/>
    </row>
    <row r="590" spans="1:27" ht="13.5" customHeight="1" x14ac:dyDescent="0.3">
      <c r="A590" s="1675"/>
      <c r="B590" s="1675"/>
      <c r="C590" s="1678"/>
      <c r="D590" s="1771"/>
      <c r="E590" s="1771"/>
      <c r="F590" s="1771"/>
      <c r="G590" s="1689"/>
      <c r="H590" s="1674"/>
      <c r="I590" s="1675"/>
      <c r="J590" s="1675"/>
      <c r="K590" s="1675"/>
      <c r="L590" s="1675"/>
      <c r="M590" s="1676"/>
      <c r="N590" s="1676"/>
      <c r="O590" s="1676"/>
      <c r="P590" s="1675"/>
      <c r="Q590" s="1675"/>
      <c r="R590" s="1675"/>
      <c r="S590" s="1675"/>
      <c r="T590" s="1675"/>
      <c r="U590" s="1675"/>
      <c r="V590" s="1675"/>
      <c r="W590" s="1675"/>
      <c r="X590" s="1675"/>
      <c r="Y590" s="1675"/>
      <c r="Z590" s="1675"/>
      <c r="AA590" s="1675"/>
    </row>
    <row r="591" spans="1:27" ht="13.5" customHeight="1" x14ac:dyDescent="0.3">
      <c r="A591" s="1675"/>
      <c r="B591" s="1675"/>
      <c r="C591" s="1678"/>
      <c r="D591" s="1771"/>
      <c r="E591" s="1771"/>
      <c r="F591" s="1771"/>
      <c r="G591" s="1689"/>
      <c r="H591" s="1674"/>
      <c r="I591" s="1675"/>
      <c r="J591" s="1675"/>
      <c r="K591" s="1675"/>
      <c r="L591" s="1675"/>
      <c r="M591" s="1676"/>
      <c r="N591" s="1676"/>
      <c r="O591" s="1676"/>
      <c r="P591" s="1675"/>
      <c r="Q591" s="1675"/>
      <c r="R591" s="1675"/>
      <c r="S591" s="1675"/>
      <c r="T591" s="1675"/>
      <c r="U591" s="1675"/>
      <c r="V591" s="1675"/>
      <c r="W591" s="1675"/>
      <c r="X591" s="1675"/>
      <c r="Y591" s="1675"/>
      <c r="Z591" s="1675"/>
      <c r="AA591" s="1675"/>
    </row>
    <row r="592" spans="1:27" ht="13.5" customHeight="1" x14ac:dyDescent="0.3">
      <c r="A592" s="1675"/>
      <c r="B592" s="1675"/>
      <c r="C592" s="1678"/>
      <c r="D592" s="1771"/>
      <c r="E592" s="1771"/>
      <c r="F592" s="1771"/>
      <c r="G592" s="1689"/>
      <c r="H592" s="1674"/>
      <c r="I592" s="1675"/>
      <c r="J592" s="1675"/>
      <c r="K592" s="1675"/>
      <c r="L592" s="1675"/>
      <c r="M592" s="1676"/>
      <c r="N592" s="1676"/>
      <c r="O592" s="1676"/>
      <c r="P592" s="1675"/>
      <c r="Q592" s="1675"/>
      <c r="R592" s="1675"/>
      <c r="S592" s="1675"/>
      <c r="T592" s="1675"/>
      <c r="U592" s="1675"/>
      <c r="V592" s="1675"/>
      <c r="W592" s="1675"/>
      <c r="X592" s="1675"/>
      <c r="Y592" s="1675"/>
      <c r="Z592" s="1675"/>
      <c r="AA592" s="1675"/>
    </row>
    <row r="593" spans="1:27" ht="13.5" customHeight="1" x14ac:dyDescent="0.3">
      <c r="A593" s="1675"/>
      <c r="B593" s="1675"/>
      <c r="C593" s="1678"/>
      <c r="D593" s="1771"/>
      <c r="E593" s="1771"/>
      <c r="F593" s="1771"/>
      <c r="G593" s="1689"/>
      <c r="H593" s="1674"/>
      <c r="I593" s="1675"/>
      <c r="J593" s="1675"/>
      <c r="K593" s="1675"/>
      <c r="L593" s="1675"/>
      <c r="M593" s="1676"/>
      <c r="N593" s="1676"/>
      <c r="O593" s="1676"/>
      <c r="P593" s="1675"/>
      <c r="Q593" s="1675"/>
      <c r="R593" s="1675"/>
      <c r="S593" s="1675"/>
      <c r="T593" s="1675"/>
      <c r="U593" s="1675"/>
      <c r="V593" s="1675"/>
      <c r="W593" s="1675"/>
      <c r="X593" s="1675"/>
      <c r="Y593" s="1675"/>
      <c r="Z593" s="1675"/>
      <c r="AA593" s="1675"/>
    </row>
    <row r="594" spans="1:27" ht="13.5" customHeight="1" x14ac:dyDescent="0.3">
      <c r="A594" s="1675"/>
      <c r="B594" s="1675"/>
      <c r="C594" s="1678"/>
      <c r="D594" s="1771"/>
      <c r="E594" s="1771"/>
      <c r="F594" s="1771"/>
      <c r="G594" s="1689"/>
      <c r="H594" s="1674"/>
      <c r="I594" s="1675"/>
      <c r="J594" s="1675"/>
      <c r="K594" s="1675"/>
      <c r="L594" s="1675"/>
      <c r="M594" s="1676"/>
      <c r="N594" s="1676"/>
      <c r="O594" s="1676"/>
      <c r="P594" s="1675"/>
      <c r="Q594" s="1675"/>
      <c r="R594" s="1675"/>
      <c r="S594" s="1675"/>
      <c r="T594" s="1675"/>
      <c r="U594" s="1675"/>
      <c r="V594" s="1675"/>
      <c r="W594" s="1675"/>
      <c r="X594" s="1675"/>
      <c r="Y594" s="1675"/>
      <c r="Z594" s="1675"/>
      <c r="AA594" s="1675"/>
    </row>
    <row r="595" spans="1:27" ht="13.5" customHeight="1" x14ac:dyDescent="0.3">
      <c r="A595" s="1675"/>
      <c r="B595" s="1675"/>
      <c r="C595" s="1678"/>
      <c r="D595" s="1771"/>
      <c r="E595" s="1771"/>
      <c r="F595" s="1771"/>
      <c r="G595" s="1689"/>
      <c r="H595" s="1674"/>
      <c r="I595" s="1675"/>
      <c r="J595" s="1675"/>
      <c r="K595" s="1675"/>
      <c r="L595" s="1675"/>
      <c r="M595" s="1676"/>
      <c r="N595" s="1676"/>
      <c r="O595" s="1676"/>
      <c r="P595" s="1675"/>
      <c r="Q595" s="1675"/>
      <c r="R595" s="1675"/>
      <c r="S595" s="1675"/>
      <c r="T595" s="1675"/>
      <c r="U595" s="1675"/>
      <c r="V595" s="1675"/>
      <c r="W595" s="1675"/>
      <c r="X595" s="1675"/>
      <c r="Y595" s="1675"/>
      <c r="Z595" s="1675"/>
      <c r="AA595" s="1675"/>
    </row>
    <row r="596" spans="1:27" ht="13.5" customHeight="1" x14ac:dyDescent="0.3">
      <c r="A596" s="1675"/>
      <c r="B596" s="1675"/>
      <c r="C596" s="1678"/>
      <c r="D596" s="1771"/>
      <c r="E596" s="1771"/>
      <c r="F596" s="1771"/>
      <c r="G596" s="1689"/>
      <c r="H596" s="1674"/>
      <c r="I596" s="1675"/>
      <c r="J596" s="1675"/>
      <c r="K596" s="1675"/>
      <c r="L596" s="1675"/>
      <c r="M596" s="1676"/>
      <c r="N596" s="1676"/>
      <c r="O596" s="1676"/>
      <c r="P596" s="1675"/>
      <c r="Q596" s="1675"/>
      <c r="R596" s="1675"/>
      <c r="S596" s="1675"/>
      <c r="T596" s="1675"/>
      <c r="U596" s="1675"/>
      <c r="V596" s="1675"/>
      <c r="W596" s="1675"/>
      <c r="X596" s="1675"/>
      <c r="Y596" s="1675"/>
      <c r="Z596" s="1675"/>
      <c r="AA596" s="1675"/>
    </row>
    <row r="597" spans="1:27" ht="13.5" customHeight="1" x14ac:dyDescent="0.3">
      <c r="A597" s="1675"/>
      <c r="B597" s="1675"/>
      <c r="C597" s="1678"/>
      <c r="D597" s="1771"/>
      <c r="E597" s="1771"/>
      <c r="F597" s="1771"/>
      <c r="G597" s="1689"/>
      <c r="H597" s="1674"/>
      <c r="I597" s="1675"/>
      <c r="J597" s="1675"/>
      <c r="K597" s="1675"/>
      <c r="L597" s="1675"/>
      <c r="M597" s="1676"/>
      <c r="N597" s="1676"/>
      <c r="O597" s="1676"/>
      <c r="P597" s="1675"/>
      <c r="Q597" s="1675"/>
      <c r="R597" s="1675"/>
      <c r="S597" s="1675"/>
      <c r="T597" s="1675"/>
      <c r="U597" s="1675"/>
      <c r="V597" s="1675"/>
      <c r="W597" s="1675"/>
      <c r="X597" s="1675"/>
      <c r="Y597" s="1675"/>
      <c r="Z597" s="1675"/>
      <c r="AA597" s="1675"/>
    </row>
    <row r="598" spans="1:27" ht="13.5" customHeight="1" x14ac:dyDescent="0.3">
      <c r="A598" s="1675"/>
      <c r="B598" s="1675"/>
      <c r="C598" s="1678"/>
      <c r="D598" s="1771"/>
      <c r="E598" s="1771"/>
      <c r="F598" s="1771"/>
      <c r="G598" s="1689"/>
      <c r="H598" s="1674"/>
      <c r="I598" s="1675"/>
      <c r="J598" s="1675"/>
      <c r="K598" s="1675"/>
      <c r="L598" s="1675"/>
      <c r="M598" s="1676"/>
      <c r="N598" s="1676"/>
      <c r="O598" s="1676"/>
      <c r="P598" s="1675"/>
      <c r="Q598" s="1675"/>
      <c r="R598" s="1675"/>
      <c r="S598" s="1675"/>
      <c r="T598" s="1675"/>
      <c r="U598" s="1675"/>
      <c r="V598" s="1675"/>
      <c r="W598" s="1675"/>
      <c r="X598" s="1675"/>
      <c r="Y598" s="1675"/>
      <c r="Z598" s="1675"/>
      <c r="AA598" s="1675"/>
    </row>
    <row r="599" spans="1:27" ht="13.5" customHeight="1" x14ac:dyDescent="0.3">
      <c r="A599" s="1675"/>
      <c r="B599" s="1675"/>
      <c r="C599" s="1678"/>
      <c r="D599" s="1771"/>
      <c r="E599" s="1771"/>
      <c r="F599" s="1771"/>
      <c r="G599" s="1689"/>
      <c r="H599" s="1674"/>
      <c r="I599" s="1675"/>
      <c r="J599" s="1675"/>
      <c r="K599" s="1675"/>
      <c r="L599" s="1675"/>
      <c r="M599" s="1676"/>
      <c r="N599" s="1676"/>
      <c r="O599" s="1676"/>
      <c r="P599" s="1675"/>
      <c r="Q599" s="1675"/>
      <c r="R599" s="1675"/>
      <c r="S599" s="1675"/>
      <c r="T599" s="1675"/>
      <c r="U599" s="1675"/>
      <c r="V599" s="1675"/>
      <c r="W599" s="1675"/>
      <c r="X599" s="1675"/>
      <c r="Y599" s="1675"/>
      <c r="Z599" s="1675"/>
      <c r="AA599" s="1675"/>
    </row>
    <row r="600" spans="1:27" ht="13.5" customHeight="1" x14ac:dyDescent="0.3">
      <c r="A600" s="1675"/>
      <c r="B600" s="1675"/>
      <c r="C600" s="1678"/>
      <c r="D600" s="1771"/>
      <c r="E600" s="1771"/>
      <c r="F600" s="1771"/>
      <c r="G600" s="1689"/>
      <c r="H600" s="1674"/>
      <c r="I600" s="1675"/>
      <c r="J600" s="1675"/>
      <c r="K600" s="1675"/>
      <c r="L600" s="1675"/>
      <c r="M600" s="1676"/>
      <c r="N600" s="1676"/>
      <c r="O600" s="1676"/>
      <c r="P600" s="1675"/>
      <c r="Q600" s="1675"/>
      <c r="R600" s="1675"/>
      <c r="S600" s="1675"/>
      <c r="T600" s="1675"/>
      <c r="U600" s="1675"/>
      <c r="V600" s="1675"/>
      <c r="W600" s="1675"/>
      <c r="X600" s="1675"/>
      <c r="Y600" s="1675"/>
      <c r="Z600" s="1675"/>
      <c r="AA600" s="1675"/>
    </row>
    <row r="601" spans="1:27" ht="13.5" customHeight="1" x14ac:dyDescent="0.3">
      <c r="A601" s="1675"/>
      <c r="B601" s="1675"/>
      <c r="C601" s="1678"/>
      <c r="D601" s="1771"/>
      <c r="E601" s="1771"/>
      <c r="F601" s="1771"/>
      <c r="G601" s="1689"/>
      <c r="H601" s="1674"/>
      <c r="I601" s="1675"/>
      <c r="J601" s="1675"/>
      <c r="K601" s="1675"/>
      <c r="L601" s="1675"/>
      <c r="M601" s="1676"/>
      <c r="N601" s="1676"/>
      <c r="O601" s="1676"/>
      <c r="P601" s="1675"/>
      <c r="Q601" s="1675"/>
      <c r="R601" s="1675"/>
      <c r="S601" s="1675"/>
      <c r="T601" s="1675"/>
      <c r="U601" s="1675"/>
      <c r="V601" s="1675"/>
      <c r="W601" s="1675"/>
      <c r="X601" s="1675"/>
      <c r="Y601" s="1675"/>
      <c r="Z601" s="1675"/>
      <c r="AA601" s="1675"/>
    </row>
    <row r="602" spans="1:27" ht="13.5" customHeight="1" x14ac:dyDescent="0.3">
      <c r="A602" s="1675"/>
      <c r="B602" s="1675"/>
      <c r="C602" s="1678"/>
      <c r="D602" s="1771"/>
      <c r="E602" s="1771"/>
      <c r="F602" s="1771"/>
      <c r="G602" s="1689"/>
      <c r="H602" s="1674"/>
      <c r="I602" s="1675"/>
      <c r="J602" s="1675"/>
      <c r="K602" s="1675"/>
      <c r="L602" s="1675"/>
      <c r="M602" s="1676"/>
      <c r="N602" s="1676"/>
      <c r="O602" s="1676"/>
      <c r="P602" s="1675"/>
      <c r="Q602" s="1675"/>
      <c r="R602" s="1675"/>
      <c r="S602" s="1675"/>
      <c r="T602" s="1675"/>
      <c r="U602" s="1675"/>
      <c r="V602" s="1675"/>
      <c r="W602" s="1675"/>
      <c r="X602" s="1675"/>
      <c r="Y602" s="1675"/>
      <c r="Z602" s="1675"/>
      <c r="AA602" s="1675"/>
    </row>
    <row r="603" spans="1:27" ht="13.5" customHeight="1" x14ac:dyDescent="0.3">
      <c r="A603" s="1675"/>
      <c r="B603" s="1675"/>
      <c r="C603" s="1678"/>
      <c r="D603" s="1771"/>
      <c r="E603" s="1771"/>
      <c r="F603" s="1771"/>
      <c r="G603" s="1689"/>
      <c r="H603" s="1674"/>
      <c r="I603" s="1675"/>
      <c r="J603" s="1675"/>
      <c r="K603" s="1675"/>
      <c r="L603" s="1675"/>
      <c r="M603" s="1676"/>
      <c r="N603" s="1676"/>
      <c r="O603" s="1676"/>
      <c r="P603" s="1675"/>
      <c r="Q603" s="1675"/>
      <c r="R603" s="1675"/>
      <c r="S603" s="1675"/>
      <c r="T603" s="1675"/>
      <c r="U603" s="1675"/>
      <c r="V603" s="1675"/>
      <c r="W603" s="1675"/>
      <c r="X603" s="1675"/>
      <c r="Y603" s="1675"/>
      <c r="Z603" s="1675"/>
      <c r="AA603" s="1675"/>
    </row>
    <row r="604" spans="1:27" ht="13.5" customHeight="1" x14ac:dyDescent="0.3">
      <c r="A604" s="1675"/>
      <c r="B604" s="1675"/>
      <c r="C604" s="1678"/>
      <c r="D604" s="1771"/>
      <c r="E604" s="1771"/>
      <c r="F604" s="1771"/>
      <c r="G604" s="1689"/>
      <c r="H604" s="1674"/>
      <c r="I604" s="1675"/>
      <c r="J604" s="1675"/>
      <c r="K604" s="1675"/>
      <c r="L604" s="1675"/>
      <c r="M604" s="1676"/>
      <c r="N604" s="1676"/>
      <c r="O604" s="1676"/>
      <c r="P604" s="1675"/>
      <c r="Q604" s="1675"/>
      <c r="R604" s="1675"/>
      <c r="S604" s="1675"/>
      <c r="T604" s="1675"/>
      <c r="U604" s="1675"/>
      <c r="V604" s="1675"/>
      <c r="W604" s="1675"/>
      <c r="X604" s="1675"/>
      <c r="Y604" s="1675"/>
      <c r="Z604" s="1675"/>
      <c r="AA604" s="1675"/>
    </row>
    <row r="605" spans="1:27" ht="13.5" customHeight="1" x14ac:dyDescent="0.3">
      <c r="A605" s="1675"/>
      <c r="B605" s="1675"/>
      <c r="C605" s="1678"/>
      <c r="D605" s="1771"/>
      <c r="E605" s="1771"/>
      <c r="F605" s="1771"/>
      <c r="G605" s="1689"/>
      <c r="H605" s="1674"/>
      <c r="I605" s="1675"/>
      <c r="J605" s="1675"/>
      <c r="K605" s="1675"/>
      <c r="L605" s="1675"/>
      <c r="M605" s="1676"/>
      <c r="N605" s="1676"/>
      <c r="O605" s="1676"/>
      <c r="P605" s="1675"/>
      <c r="Q605" s="1675"/>
      <c r="R605" s="1675"/>
      <c r="S605" s="1675"/>
      <c r="T605" s="1675"/>
      <c r="U605" s="1675"/>
      <c r="V605" s="1675"/>
      <c r="W605" s="1675"/>
      <c r="X605" s="1675"/>
      <c r="Y605" s="1675"/>
      <c r="Z605" s="1675"/>
      <c r="AA605" s="1675"/>
    </row>
    <row r="606" spans="1:27" ht="13.5" customHeight="1" x14ac:dyDescent="0.3">
      <c r="A606" s="1675"/>
      <c r="B606" s="1675"/>
      <c r="C606" s="1678"/>
      <c r="D606" s="1771"/>
      <c r="E606" s="1771"/>
      <c r="F606" s="1771"/>
      <c r="G606" s="1689"/>
      <c r="H606" s="1674"/>
      <c r="I606" s="1675"/>
      <c r="J606" s="1675"/>
      <c r="K606" s="1675"/>
      <c r="L606" s="1675"/>
      <c r="M606" s="1676"/>
      <c r="N606" s="1676"/>
      <c r="O606" s="1676"/>
      <c r="P606" s="1675"/>
      <c r="Q606" s="1675"/>
      <c r="R606" s="1675"/>
      <c r="S606" s="1675"/>
      <c r="T606" s="1675"/>
      <c r="U606" s="1675"/>
      <c r="V606" s="1675"/>
      <c r="W606" s="1675"/>
      <c r="X606" s="1675"/>
      <c r="Y606" s="1675"/>
      <c r="Z606" s="1675"/>
      <c r="AA606" s="1675"/>
    </row>
    <row r="607" spans="1:27" ht="13.5" customHeight="1" x14ac:dyDescent="0.3">
      <c r="A607" s="1675"/>
      <c r="B607" s="1675"/>
      <c r="C607" s="1678"/>
      <c r="D607" s="1771"/>
      <c r="E607" s="1771"/>
      <c r="F607" s="1771"/>
      <c r="G607" s="1689"/>
      <c r="H607" s="1674"/>
      <c r="I607" s="1675"/>
      <c r="J607" s="1675"/>
      <c r="K607" s="1675"/>
      <c r="L607" s="1675"/>
      <c r="M607" s="1676"/>
      <c r="N607" s="1676"/>
      <c r="O607" s="1676"/>
      <c r="P607" s="1675"/>
      <c r="Q607" s="1675"/>
      <c r="R607" s="1675"/>
      <c r="S607" s="1675"/>
      <c r="T607" s="1675"/>
      <c r="U607" s="1675"/>
      <c r="V607" s="1675"/>
      <c r="W607" s="1675"/>
      <c r="X607" s="1675"/>
      <c r="Y607" s="1675"/>
      <c r="Z607" s="1675"/>
      <c r="AA607" s="1675"/>
    </row>
    <row r="608" spans="1:27" ht="13.5" customHeight="1" x14ac:dyDescent="0.3">
      <c r="A608" s="1675"/>
      <c r="B608" s="1675"/>
      <c r="C608" s="1678"/>
      <c r="D608" s="1771"/>
      <c r="E608" s="1771"/>
      <c r="F608" s="1771"/>
      <c r="G608" s="1689"/>
      <c r="H608" s="1674"/>
      <c r="I608" s="1675"/>
      <c r="J608" s="1675"/>
      <c r="K608" s="1675"/>
      <c r="L608" s="1675"/>
      <c r="M608" s="1676"/>
      <c r="N608" s="1676"/>
      <c r="O608" s="1676"/>
      <c r="P608" s="1675"/>
      <c r="Q608" s="1675"/>
      <c r="R608" s="1675"/>
      <c r="S608" s="1675"/>
      <c r="T608" s="1675"/>
      <c r="U608" s="1675"/>
      <c r="V608" s="1675"/>
      <c r="W608" s="1675"/>
      <c r="X608" s="1675"/>
      <c r="Y608" s="1675"/>
      <c r="Z608" s="1675"/>
      <c r="AA608" s="1675"/>
    </row>
    <row r="609" spans="1:27" ht="13.5" customHeight="1" x14ac:dyDescent="0.3">
      <c r="A609" s="1675"/>
      <c r="B609" s="1675"/>
      <c r="C609" s="1678"/>
      <c r="D609" s="1771"/>
      <c r="E609" s="1771"/>
      <c r="F609" s="1771"/>
      <c r="G609" s="1689"/>
      <c r="H609" s="1674"/>
      <c r="I609" s="1675"/>
      <c r="J609" s="1675"/>
      <c r="K609" s="1675"/>
      <c r="L609" s="1675"/>
      <c r="M609" s="1676"/>
      <c r="N609" s="1676"/>
      <c r="O609" s="1676"/>
      <c r="P609" s="1675"/>
      <c r="Q609" s="1675"/>
      <c r="R609" s="1675"/>
      <c r="S609" s="1675"/>
      <c r="T609" s="1675"/>
      <c r="U609" s="1675"/>
      <c r="V609" s="1675"/>
      <c r="W609" s="1675"/>
      <c r="X609" s="1675"/>
      <c r="Y609" s="1675"/>
      <c r="Z609" s="1675"/>
      <c r="AA609" s="1675"/>
    </row>
    <row r="610" spans="1:27" ht="13.5" customHeight="1" x14ac:dyDescent="0.3">
      <c r="A610" s="1675"/>
      <c r="B610" s="1675"/>
      <c r="C610" s="1678"/>
      <c r="D610" s="1771"/>
      <c r="E610" s="1771"/>
      <c r="F610" s="1771"/>
      <c r="G610" s="1689"/>
      <c r="H610" s="1674"/>
      <c r="I610" s="1675"/>
      <c r="J610" s="1675"/>
      <c r="K610" s="1675"/>
      <c r="L610" s="1675"/>
      <c r="M610" s="1676"/>
      <c r="N610" s="1676"/>
      <c r="O610" s="1676"/>
      <c r="P610" s="1675"/>
      <c r="Q610" s="1675"/>
      <c r="R610" s="1675"/>
      <c r="S610" s="1675"/>
      <c r="T610" s="1675"/>
      <c r="U610" s="1675"/>
      <c r="V610" s="1675"/>
      <c r="W610" s="1675"/>
      <c r="X610" s="1675"/>
      <c r="Y610" s="1675"/>
      <c r="Z610" s="1675"/>
      <c r="AA610" s="1675"/>
    </row>
    <row r="611" spans="1:27" ht="13.5" customHeight="1" x14ac:dyDescent="0.3">
      <c r="A611" s="1675"/>
      <c r="B611" s="1675"/>
      <c r="C611" s="1678"/>
      <c r="D611" s="1771"/>
      <c r="E611" s="1771"/>
      <c r="F611" s="1771"/>
      <c r="G611" s="1689"/>
      <c r="H611" s="1674"/>
      <c r="I611" s="1675"/>
      <c r="J611" s="1675"/>
      <c r="K611" s="1675"/>
      <c r="L611" s="1675"/>
      <c r="M611" s="1676"/>
      <c r="N611" s="1676"/>
      <c r="O611" s="1676"/>
      <c r="P611" s="1675"/>
      <c r="Q611" s="1675"/>
      <c r="R611" s="1675"/>
      <c r="S611" s="1675"/>
      <c r="T611" s="1675"/>
      <c r="U611" s="1675"/>
      <c r="V611" s="1675"/>
      <c r="W611" s="1675"/>
      <c r="X611" s="1675"/>
      <c r="Y611" s="1675"/>
      <c r="Z611" s="1675"/>
      <c r="AA611" s="1675"/>
    </row>
    <row r="612" spans="1:27" ht="13.5" customHeight="1" x14ac:dyDescent="0.3">
      <c r="A612" s="1675"/>
      <c r="B612" s="1675"/>
      <c r="C612" s="1678"/>
      <c r="D612" s="1771"/>
      <c r="E612" s="1771"/>
      <c r="F612" s="1771"/>
      <c r="G612" s="1689"/>
      <c r="H612" s="1674"/>
      <c r="I612" s="1675"/>
      <c r="J612" s="1675"/>
      <c r="K612" s="1675"/>
      <c r="L612" s="1675"/>
      <c r="M612" s="1676"/>
      <c r="N612" s="1676"/>
      <c r="O612" s="1676"/>
      <c r="P612" s="1675"/>
      <c r="Q612" s="1675"/>
      <c r="R612" s="1675"/>
      <c r="S612" s="1675"/>
      <c r="T612" s="1675"/>
      <c r="U612" s="1675"/>
      <c r="V612" s="1675"/>
      <c r="W612" s="1675"/>
      <c r="X612" s="1675"/>
      <c r="Y612" s="1675"/>
      <c r="Z612" s="1675"/>
      <c r="AA612" s="1675"/>
    </row>
    <row r="613" spans="1:27" ht="13.5" customHeight="1" x14ac:dyDescent="0.3">
      <c r="A613" s="1675"/>
      <c r="B613" s="1675"/>
      <c r="C613" s="1678"/>
      <c r="D613" s="1771"/>
      <c r="E613" s="1771"/>
      <c r="F613" s="1771"/>
      <c r="G613" s="1689"/>
      <c r="H613" s="1674"/>
      <c r="I613" s="1675"/>
      <c r="J613" s="1675"/>
      <c r="K613" s="1675"/>
      <c r="L613" s="1675"/>
      <c r="M613" s="1676"/>
      <c r="N613" s="1676"/>
      <c r="O613" s="1676"/>
      <c r="P613" s="1675"/>
      <c r="Q613" s="1675"/>
      <c r="R613" s="1675"/>
      <c r="S613" s="1675"/>
      <c r="T613" s="1675"/>
      <c r="U613" s="1675"/>
      <c r="V613" s="1675"/>
      <c r="W613" s="1675"/>
      <c r="X613" s="1675"/>
      <c r="Y613" s="1675"/>
      <c r="Z613" s="1675"/>
      <c r="AA613" s="1675"/>
    </row>
    <row r="614" spans="1:27" ht="13.5" customHeight="1" x14ac:dyDescent="0.3">
      <c r="A614" s="1675"/>
      <c r="B614" s="1675"/>
      <c r="C614" s="1678"/>
      <c r="D614" s="1771"/>
      <c r="E614" s="1771"/>
      <c r="F614" s="1771"/>
      <c r="G614" s="1689"/>
      <c r="H614" s="1674"/>
      <c r="I614" s="1675"/>
      <c r="J614" s="1675"/>
      <c r="K614" s="1675"/>
      <c r="L614" s="1675"/>
      <c r="M614" s="1676"/>
      <c r="N614" s="1676"/>
      <c r="O614" s="1676"/>
      <c r="P614" s="1675"/>
      <c r="Q614" s="1675"/>
      <c r="R614" s="1675"/>
      <c r="S614" s="1675"/>
      <c r="T614" s="1675"/>
      <c r="U614" s="1675"/>
      <c r="V614" s="1675"/>
      <c r="W614" s="1675"/>
      <c r="X614" s="1675"/>
      <c r="Y614" s="1675"/>
      <c r="Z614" s="1675"/>
      <c r="AA614" s="1675"/>
    </row>
    <row r="615" spans="1:27" ht="13.5" customHeight="1" x14ac:dyDescent="0.3">
      <c r="A615" s="1675"/>
      <c r="B615" s="1675"/>
      <c r="C615" s="1678"/>
      <c r="D615" s="1771"/>
      <c r="E615" s="1771"/>
      <c r="F615" s="1771"/>
      <c r="G615" s="1689"/>
      <c r="H615" s="1674"/>
      <c r="I615" s="1675"/>
      <c r="J615" s="1675"/>
      <c r="K615" s="1675"/>
      <c r="L615" s="1675"/>
      <c r="M615" s="1676"/>
      <c r="N615" s="1676"/>
      <c r="O615" s="1676"/>
      <c r="P615" s="1675"/>
      <c r="Q615" s="1675"/>
      <c r="R615" s="1675"/>
      <c r="S615" s="1675"/>
      <c r="T615" s="1675"/>
      <c r="U615" s="1675"/>
      <c r="V615" s="1675"/>
      <c r="W615" s="1675"/>
      <c r="X615" s="1675"/>
      <c r="Y615" s="1675"/>
      <c r="Z615" s="1675"/>
      <c r="AA615" s="1675"/>
    </row>
    <row r="616" spans="1:27" ht="13.5" customHeight="1" x14ac:dyDescent="0.3">
      <c r="A616" s="1675"/>
      <c r="B616" s="1675"/>
      <c r="C616" s="1678"/>
      <c r="D616" s="1771"/>
      <c r="E616" s="1771"/>
      <c r="F616" s="1771"/>
      <c r="G616" s="1689"/>
      <c r="H616" s="1674"/>
      <c r="I616" s="1675"/>
      <c r="J616" s="1675"/>
      <c r="K616" s="1675"/>
      <c r="L616" s="1675"/>
      <c r="M616" s="1676"/>
      <c r="N616" s="1676"/>
      <c r="O616" s="1676"/>
      <c r="P616" s="1675"/>
      <c r="Q616" s="1675"/>
      <c r="R616" s="1675"/>
      <c r="S616" s="1675"/>
      <c r="T616" s="1675"/>
      <c r="U616" s="1675"/>
      <c r="V616" s="1675"/>
      <c r="W616" s="1675"/>
      <c r="X616" s="1675"/>
      <c r="Y616" s="1675"/>
      <c r="Z616" s="1675"/>
      <c r="AA616" s="1675"/>
    </row>
    <row r="617" spans="1:27" ht="13.5" customHeight="1" x14ac:dyDescent="0.3">
      <c r="A617" s="1675"/>
      <c r="B617" s="1675"/>
      <c r="C617" s="1678"/>
      <c r="D617" s="1771"/>
      <c r="E617" s="1771"/>
      <c r="F617" s="1771"/>
      <c r="G617" s="1689"/>
      <c r="H617" s="1674"/>
      <c r="I617" s="1675"/>
      <c r="J617" s="1675"/>
      <c r="K617" s="1675"/>
      <c r="L617" s="1675"/>
      <c r="M617" s="1676"/>
      <c r="N617" s="1676"/>
      <c r="O617" s="1676"/>
      <c r="P617" s="1675"/>
      <c r="Q617" s="1675"/>
      <c r="R617" s="1675"/>
      <c r="S617" s="1675"/>
      <c r="T617" s="1675"/>
      <c r="U617" s="1675"/>
      <c r="V617" s="1675"/>
      <c r="W617" s="1675"/>
      <c r="X617" s="1675"/>
      <c r="Y617" s="1675"/>
      <c r="Z617" s="1675"/>
      <c r="AA617" s="1675"/>
    </row>
    <row r="618" spans="1:27" ht="13.5" customHeight="1" x14ac:dyDescent="0.3">
      <c r="A618" s="1675"/>
      <c r="B618" s="1675"/>
      <c r="C618" s="1678"/>
      <c r="D618" s="1771"/>
      <c r="E618" s="1771"/>
      <c r="F618" s="1771"/>
      <c r="G618" s="1689"/>
      <c r="H618" s="1674"/>
      <c r="I618" s="1675"/>
      <c r="J618" s="1675"/>
      <c r="K618" s="1675"/>
      <c r="L618" s="1675"/>
      <c r="M618" s="1676"/>
      <c r="N618" s="1676"/>
      <c r="O618" s="1676"/>
      <c r="P618" s="1675"/>
      <c r="Q618" s="1675"/>
      <c r="R618" s="1675"/>
      <c r="S618" s="1675"/>
      <c r="T618" s="1675"/>
      <c r="U618" s="1675"/>
      <c r="V618" s="1675"/>
      <c r="W618" s="1675"/>
      <c r="X618" s="1675"/>
      <c r="Y618" s="1675"/>
      <c r="Z618" s="1675"/>
      <c r="AA618" s="1675"/>
    </row>
    <row r="619" spans="1:27" ht="13.5" customHeight="1" x14ac:dyDescent="0.3">
      <c r="A619" s="1675"/>
      <c r="B619" s="1675"/>
      <c r="C619" s="1678"/>
      <c r="D619" s="1771"/>
      <c r="E619" s="1771"/>
      <c r="F619" s="1771"/>
      <c r="G619" s="1689"/>
      <c r="H619" s="1674"/>
      <c r="I619" s="1675"/>
      <c r="J619" s="1675"/>
      <c r="K619" s="1675"/>
      <c r="L619" s="1675"/>
      <c r="M619" s="1676"/>
      <c r="N619" s="1676"/>
      <c r="O619" s="1676"/>
      <c r="P619" s="1675"/>
      <c r="Q619" s="1675"/>
      <c r="R619" s="1675"/>
      <c r="S619" s="1675"/>
      <c r="T619" s="1675"/>
      <c r="U619" s="1675"/>
      <c r="V619" s="1675"/>
      <c r="W619" s="1675"/>
      <c r="X619" s="1675"/>
      <c r="Y619" s="1675"/>
      <c r="Z619" s="1675"/>
      <c r="AA619" s="1675"/>
    </row>
    <row r="620" spans="1:27" ht="13.5" customHeight="1" x14ac:dyDescent="0.3">
      <c r="A620" s="1675"/>
      <c r="B620" s="1675"/>
      <c r="C620" s="1678"/>
      <c r="D620" s="1771"/>
      <c r="E620" s="1771"/>
      <c r="F620" s="1771"/>
      <c r="G620" s="1689"/>
      <c r="H620" s="1674"/>
      <c r="I620" s="1675"/>
      <c r="J620" s="1675"/>
      <c r="K620" s="1675"/>
      <c r="L620" s="1675"/>
      <c r="M620" s="1676"/>
      <c r="N620" s="1676"/>
      <c r="O620" s="1676"/>
      <c r="P620" s="1675"/>
      <c r="Q620" s="1675"/>
      <c r="R620" s="1675"/>
      <c r="S620" s="1675"/>
      <c r="T620" s="1675"/>
      <c r="U620" s="1675"/>
      <c r="V620" s="1675"/>
      <c r="W620" s="1675"/>
      <c r="X620" s="1675"/>
      <c r="Y620" s="1675"/>
      <c r="Z620" s="1675"/>
      <c r="AA620" s="1675"/>
    </row>
    <row r="621" spans="1:27" ht="13.5" customHeight="1" x14ac:dyDescent="0.3">
      <c r="A621" s="1675"/>
      <c r="B621" s="1675"/>
      <c r="C621" s="1678"/>
      <c r="D621" s="1771"/>
      <c r="E621" s="1771"/>
      <c r="F621" s="1771"/>
      <c r="G621" s="1689"/>
      <c r="H621" s="1674"/>
      <c r="I621" s="1675"/>
      <c r="J621" s="1675"/>
      <c r="K621" s="1675"/>
      <c r="L621" s="1675"/>
      <c r="M621" s="1676"/>
      <c r="N621" s="1676"/>
      <c r="O621" s="1676"/>
      <c r="P621" s="1675"/>
      <c r="Q621" s="1675"/>
      <c r="R621" s="1675"/>
      <c r="S621" s="1675"/>
      <c r="T621" s="1675"/>
      <c r="U621" s="1675"/>
      <c r="V621" s="1675"/>
      <c r="W621" s="1675"/>
      <c r="X621" s="1675"/>
      <c r="Y621" s="1675"/>
      <c r="Z621" s="1675"/>
      <c r="AA621" s="1675"/>
    </row>
    <row r="622" spans="1:27" ht="13.5" customHeight="1" x14ac:dyDescent="0.3">
      <c r="A622" s="1675"/>
      <c r="B622" s="1675"/>
      <c r="C622" s="1678"/>
      <c r="D622" s="1771"/>
      <c r="E622" s="1771"/>
      <c r="F622" s="1771"/>
      <c r="G622" s="1689"/>
      <c r="H622" s="1674"/>
      <c r="I622" s="1675"/>
      <c r="J622" s="1675"/>
      <c r="K622" s="1675"/>
      <c r="L622" s="1675"/>
      <c r="M622" s="1676"/>
      <c r="N622" s="1676"/>
      <c r="O622" s="1676"/>
      <c r="P622" s="1675"/>
      <c r="Q622" s="1675"/>
      <c r="R622" s="1675"/>
      <c r="S622" s="1675"/>
      <c r="T622" s="1675"/>
      <c r="U622" s="1675"/>
      <c r="V622" s="1675"/>
      <c r="W622" s="1675"/>
      <c r="X622" s="1675"/>
      <c r="Y622" s="1675"/>
      <c r="Z622" s="1675"/>
      <c r="AA622" s="1675"/>
    </row>
    <row r="623" spans="1:27" ht="13.5" customHeight="1" x14ac:dyDescent="0.3">
      <c r="A623" s="1675"/>
      <c r="B623" s="1675"/>
      <c r="C623" s="1678"/>
      <c r="D623" s="1771"/>
      <c r="E623" s="1771"/>
      <c r="F623" s="1771"/>
      <c r="G623" s="1689"/>
      <c r="H623" s="1674"/>
      <c r="I623" s="1675"/>
      <c r="J623" s="1675"/>
      <c r="K623" s="1675"/>
      <c r="L623" s="1675"/>
      <c r="M623" s="1676"/>
      <c r="N623" s="1676"/>
      <c r="O623" s="1676"/>
      <c r="P623" s="1675"/>
      <c r="Q623" s="1675"/>
      <c r="R623" s="1675"/>
      <c r="S623" s="1675"/>
      <c r="T623" s="1675"/>
      <c r="U623" s="1675"/>
      <c r="V623" s="1675"/>
      <c r="W623" s="1675"/>
      <c r="X623" s="1675"/>
      <c r="Y623" s="1675"/>
      <c r="Z623" s="1675"/>
      <c r="AA623" s="1675"/>
    </row>
    <row r="624" spans="1:27" ht="13.5" customHeight="1" x14ac:dyDescent="0.3">
      <c r="A624" s="1675"/>
      <c r="B624" s="1675"/>
      <c r="C624" s="1678"/>
      <c r="D624" s="1771"/>
      <c r="E624" s="1771"/>
      <c r="F624" s="1771"/>
      <c r="G624" s="1689"/>
      <c r="H624" s="1674"/>
      <c r="I624" s="1675"/>
      <c r="J624" s="1675"/>
      <c r="K624" s="1675"/>
      <c r="L624" s="1675"/>
      <c r="M624" s="1676"/>
      <c r="N624" s="1676"/>
      <c r="O624" s="1676"/>
      <c r="P624" s="1675"/>
      <c r="Q624" s="1675"/>
      <c r="R624" s="1675"/>
      <c r="S624" s="1675"/>
      <c r="T624" s="1675"/>
      <c r="U624" s="1675"/>
      <c r="V624" s="1675"/>
      <c r="W624" s="1675"/>
      <c r="X624" s="1675"/>
      <c r="Y624" s="1675"/>
      <c r="Z624" s="1675"/>
      <c r="AA624" s="1675"/>
    </row>
    <row r="625" spans="1:27" ht="13.5" customHeight="1" x14ac:dyDescent="0.3">
      <c r="A625" s="1675"/>
      <c r="B625" s="1675"/>
      <c r="C625" s="1678"/>
      <c r="D625" s="1771"/>
      <c r="E625" s="1771"/>
      <c r="F625" s="1771"/>
      <c r="G625" s="1689"/>
      <c r="H625" s="1674"/>
      <c r="I625" s="1675"/>
      <c r="J625" s="1675"/>
      <c r="K625" s="1675"/>
      <c r="L625" s="1675"/>
      <c r="M625" s="1676"/>
      <c r="N625" s="1676"/>
      <c r="O625" s="1676"/>
      <c r="P625" s="1675"/>
      <c r="Q625" s="1675"/>
      <c r="R625" s="1675"/>
      <c r="S625" s="1675"/>
      <c r="T625" s="1675"/>
      <c r="U625" s="1675"/>
      <c r="V625" s="1675"/>
      <c r="W625" s="1675"/>
      <c r="X625" s="1675"/>
      <c r="Y625" s="1675"/>
      <c r="Z625" s="1675"/>
      <c r="AA625" s="1675"/>
    </row>
    <row r="626" spans="1:27" ht="13.5" customHeight="1" x14ac:dyDescent="0.3">
      <c r="A626" s="1675"/>
      <c r="B626" s="1675"/>
      <c r="C626" s="1678"/>
      <c r="D626" s="1771"/>
      <c r="E626" s="1771"/>
      <c r="F626" s="1771"/>
      <c r="G626" s="1689"/>
      <c r="H626" s="1674"/>
      <c r="I626" s="1675"/>
      <c r="J626" s="1675"/>
      <c r="K626" s="1675"/>
      <c r="L626" s="1675"/>
      <c r="M626" s="1676"/>
      <c r="N626" s="1676"/>
      <c r="O626" s="1676"/>
      <c r="P626" s="1675"/>
      <c r="Q626" s="1675"/>
      <c r="R626" s="1675"/>
      <c r="S626" s="1675"/>
      <c r="T626" s="1675"/>
      <c r="U626" s="1675"/>
      <c r="V626" s="1675"/>
      <c r="W626" s="1675"/>
      <c r="X626" s="1675"/>
      <c r="Y626" s="1675"/>
      <c r="Z626" s="1675"/>
      <c r="AA626" s="1675"/>
    </row>
    <row r="627" spans="1:27" ht="13.5" customHeight="1" x14ac:dyDescent="0.3">
      <c r="A627" s="1675"/>
      <c r="B627" s="1675"/>
      <c r="C627" s="1678"/>
      <c r="D627" s="1771"/>
      <c r="E627" s="1771"/>
      <c r="F627" s="1771"/>
      <c r="G627" s="1689"/>
      <c r="H627" s="1674"/>
      <c r="I627" s="1675"/>
      <c r="J627" s="1675"/>
      <c r="K627" s="1675"/>
      <c r="L627" s="1675"/>
      <c r="M627" s="1676"/>
      <c r="N627" s="1676"/>
      <c r="O627" s="1676"/>
      <c r="P627" s="1675"/>
      <c r="Q627" s="1675"/>
      <c r="R627" s="1675"/>
      <c r="S627" s="1675"/>
      <c r="T627" s="1675"/>
      <c r="U627" s="1675"/>
      <c r="V627" s="1675"/>
      <c r="W627" s="1675"/>
      <c r="X627" s="1675"/>
      <c r="Y627" s="1675"/>
      <c r="Z627" s="1675"/>
      <c r="AA627" s="1675"/>
    </row>
    <row r="628" spans="1:27" ht="13.5" customHeight="1" x14ac:dyDescent="0.3">
      <c r="A628" s="1675"/>
      <c r="B628" s="1675"/>
      <c r="C628" s="1678"/>
      <c r="D628" s="1771"/>
      <c r="E628" s="1771"/>
      <c r="F628" s="1771"/>
      <c r="G628" s="1689"/>
      <c r="H628" s="1674"/>
      <c r="I628" s="1675"/>
      <c r="J628" s="1675"/>
      <c r="K628" s="1675"/>
      <c r="L628" s="1675"/>
      <c r="M628" s="1676"/>
      <c r="N628" s="1676"/>
      <c r="O628" s="1676"/>
      <c r="P628" s="1675"/>
      <c r="Q628" s="1675"/>
      <c r="R628" s="1675"/>
      <c r="S628" s="1675"/>
      <c r="T628" s="1675"/>
      <c r="U628" s="1675"/>
      <c r="V628" s="1675"/>
      <c r="W628" s="1675"/>
      <c r="X628" s="1675"/>
      <c r="Y628" s="1675"/>
      <c r="Z628" s="1675"/>
      <c r="AA628" s="1675"/>
    </row>
    <row r="629" spans="1:27" ht="13.5" customHeight="1" x14ac:dyDescent="0.3">
      <c r="A629" s="1675"/>
      <c r="B629" s="1675"/>
      <c r="C629" s="1678"/>
      <c r="D629" s="1771"/>
      <c r="E629" s="1771"/>
      <c r="F629" s="1771"/>
      <c r="G629" s="1689"/>
      <c r="H629" s="1674"/>
      <c r="I629" s="1675"/>
      <c r="J629" s="1675"/>
      <c r="K629" s="1675"/>
      <c r="L629" s="1675"/>
      <c r="M629" s="1676"/>
      <c r="N629" s="1676"/>
      <c r="O629" s="1676"/>
      <c r="P629" s="1675"/>
      <c r="Q629" s="1675"/>
      <c r="R629" s="1675"/>
      <c r="S629" s="1675"/>
      <c r="T629" s="1675"/>
      <c r="U629" s="1675"/>
      <c r="V629" s="1675"/>
      <c r="W629" s="1675"/>
      <c r="X629" s="1675"/>
      <c r="Y629" s="1675"/>
      <c r="Z629" s="1675"/>
      <c r="AA629" s="1675"/>
    </row>
    <row r="630" spans="1:27" ht="13.5" customHeight="1" x14ac:dyDescent="0.3">
      <c r="A630" s="1675"/>
      <c r="B630" s="1675"/>
      <c r="C630" s="1678"/>
      <c r="D630" s="1771"/>
      <c r="E630" s="1771"/>
      <c r="F630" s="1771"/>
      <c r="G630" s="1689"/>
      <c r="H630" s="1674"/>
      <c r="I630" s="1675"/>
      <c r="J630" s="1675"/>
      <c r="K630" s="1675"/>
      <c r="L630" s="1675"/>
      <c r="M630" s="1676"/>
      <c r="N630" s="1676"/>
      <c r="O630" s="1676"/>
      <c r="P630" s="1675"/>
      <c r="Q630" s="1675"/>
      <c r="R630" s="1675"/>
      <c r="S630" s="1675"/>
      <c r="T630" s="1675"/>
      <c r="U630" s="1675"/>
      <c r="V630" s="1675"/>
      <c r="W630" s="1675"/>
      <c r="X630" s="1675"/>
      <c r="Y630" s="1675"/>
      <c r="Z630" s="1675"/>
      <c r="AA630" s="1675"/>
    </row>
    <row r="631" spans="1:27" ht="13.5" customHeight="1" x14ac:dyDescent="0.3">
      <c r="A631" s="1675"/>
      <c r="B631" s="1675"/>
      <c r="C631" s="1678"/>
      <c r="D631" s="1771"/>
      <c r="E631" s="1771"/>
      <c r="F631" s="1771"/>
      <c r="G631" s="1689"/>
      <c r="H631" s="1674"/>
      <c r="I631" s="1675"/>
      <c r="J631" s="1675"/>
      <c r="K631" s="1675"/>
      <c r="L631" s="1675"/>
      <c r="M631" s="1676"/>
      <c r="N631" s="1676"/>
      <c r="O631" s="1676"/>
      <c r="P631" s="1675"/>
      <c r="Q631" s="1675"/>
      <c r="R631" s="1675"/>
      <c r="S631" s="1675"/>
      <c r="T631" s="1675"/>
      <c r="U631" s="1675"/>
      <c r="V631" s="1675"/>
      <c r="W631" s="1675"/>
      <c r="X631" s="1675"/>
      <c r="Y631" s="1675"/>
      <c r="Z631" s="1675"/>
      <c r="AA631" s="1675"/>
    </row>
    <row r="632" spans="1:27" ht="13.5" customHeight="1" x14ac:dyDescent="0.3">
      <c r="A632" s="1675"/>
      <c r="B632" s="1675"/>
      <c r="C632" s="1678"/>
      <c r="D632" s="1771"/>
      <c r="E632" s="1771"/>
      <c r="F632" s="1771"/>
      <c r="G632" s="1689"/>
      <c r="H632" s="1674"/>
      <c r="I632" s="1675"/>
      <c r="J632" s="1675"/>
      <c r="K632" s="1675"/>
      <c r="L632" s="1675"/>
      <c r="M632" s="1676"/>
      <c r="N632" s="1676"/>
      <c r="O632" s="1676"/>
      <c r="P632" s="1675"/>
      <c r="Q632" s="1675"/>
      <c r="R632" s="1675"/>
      <c r="S632" s="1675"/>
      <c r="T632" s="1675"/>
      <c r="U632" s="1675"/>
      <c r="V632" s="1675"/>
      <c r="W632" s="1675"/>
      <c r="X632" s="1675"/>
      <c r="Y632" s="1675"/>
      <c r="Z632" s="1675"/>
      <c r="AA632" s="1675"/>
    </row>
    <row r="633" spans="1:27" ht="13.5" customHeight="1" x14ac:dyDescent="0.3">
      <c r="A633" s="1675"/>
      <c r="B633" s="1675"/>
      <c r="C633" s="1678"/>
      <c r="D633" s="1771"/>
      <c r="E633" s="1771"/>
      <c r="F633" s="1771"/>
      <c r="G633" s="1689"/>
      <c r="H633" s="1674"/>
      <c r="I633" s="1675"/>
      <c r="J633" s="1675"/>
      <c r="K633" s="1675"/>
      <c r="L633" s="1675"/>
      <c r="M633" s="1676"/>
      <c r="N633" s="1676"/>
      <c r="O633" s="1676"/>
      <c r="P633" s="1675"/>
      <c r="Q633" s="1675"/>
      <c r="R633" s="1675"/>
      <c r="S633" s="1675"/>
      <c r="T633" s="1675"/>
      <c r="U633" s="1675"/>
      <c r="V633" s="1675"/>
      <c r="W633" s="1675"/>
      <c r="X633" s="1675"/>
      <c r="Y633" s="1675"/>
      <c r="Z633" s="1675"/>
      <c r="AA633" s="1675"/>
    </row>
    <row r="634" spans="1:27" ht="13.5" customHeight="1" x14ac:dyDescent="0.3">
      <c r="A634" s="1675"/>
      <c r="B634" s="1675"/>
      <c r="C634" s="1678"/>
      <c r="D634" s="1771"/>
      <c r="E634" s="1771"/>
      <c r="F634" s="1771"/>
      <c r="G634" s="1689"/>
      <c r="H634" s="1674"/>
      <c r="I634" s="1675"/>
      <c r="J634" s="1675"/>
      <c r="K634" s="1675"/>
      <c r="L634" s="1675"/>
      <c r="M634" s="1676"/>
      <c r="N634" s="1676"/>
      <c r="O634" s="1676"/>
      <c r="P634" s="1675"/>
      <c r="Q634" s="1675"/>
      <c r="R634" s="1675"/>
      <c r="S634" s="1675"/>
      <c r="T634" s="1675"/>
      <c r="U634" s="1675"/>
      <c r="V634" s="1675"/>
      <c r="W634" s="1675"/>
      <c r="X634" s="1675"/>
      <c r="Y634" s="1675"/>
      <c r="Z634" s="1675"/>
      <c r="AA634" s="1675"/>
    </row>
    <row r="635" spans="1:27" ht="13.5" customHeight="1" x14ac:dyDescent="0.3">
      <c r="A635" s="1675"/>
      <c r="B635" s="1675"/>
      <c r="C635" s="1678"/>
      <c r="D635" s="1771"/>
      <c r="E635" s="1771"/>
      <c r="F635" s="1771"/>
      <c r="G635" s="1689"/>
      <c r="H635" s="1674"/>
      <c r="I635" s="1675"/>
      <c r="J635" s="1675"/>
      <c r="K635" s="1675"/>
      <c r="L635" s="1675"/>
      <c r="M635" s="1676"/>
      <c r="N635" s="1676"/>
      <c r="O635" s="1676"/>
      <c r="P635" s="1675"/>
      <c r="Q635" s="1675"/>
      <c r="R635" s="1675"/>
      <c r="S635" s="1675"/>
      <c r="T635" s="1675"/>
      <c r="U635" s="1675"/>
      <c r="V635" s="1675"/>
      <c r="W635" s="1675"/>
      <c r="X635" s="1675"/>
      <c r="Y635" s="1675"/>
      <c r="Z635" s="1675"/>
      <c r="AA635" s="1675"/>
    </row>
    <row r="636" spans="1:27" ht="13.5" customHeight="1" x14ac:dyDescent="0.3">
      <c r="A636" s="1675"/>
      <c r="B636" s="1675"/>
      <c r="C636" s="1678"/>
      <c r="D636" s="1771"/>
      <c r="E636" s="1771"/>
      <c r="F636" s="1771"/>
      <c r="G636" s="1689"/>
      <c r="H636" s="1674"/>
      <c r="I636" s="1675"/>
      <c r="J636" s="1675"/>
      <c r="K636" s="1675"/>
      <c r="L636" s="1675"/>
      <c r="M636" s="1676"/>
      <c r="N636" s="1676"/>
      <c r="O636" s="1676"/>
      <c r="P636" s="1675"/>
      <c r="Q636" s="1675"/>
      <c r="R636" s="1675"/>
      <c r="S636" s="1675"/>
      <c r="T636" s="1675"/>
      <c r="U636" s="1675"/>
      <c r="V636" s="1675"/>
      <c r="W636" s="1675"/>
      <c r="X636" s="1675"/>
      <c r="Y636" s="1675"/>
      <c r="Z636" s="1675"/>
      <c r="AA636" s="1675"/>
    </row>
    <row r="637" spans="1:27" ht="13.5" customHeight="1" x14ac:dyDescent="0.3">
      <c r="A637" s="1675"/>
      <c r="B637" s="1675"/>
      <c r="C637" s="1678"/>
      <c r="D637" s="1771"/>
      <c r="E637" s="1771"/>
      <c r="F637" s="1771"/>
      <c r="G637" s="1689"/>
      <c r="H637" s="1674"/>
      <c r="I637" s="1675"/>
      <c r="J637" s="1675"/>
      <c r="K637" s="1675"/>
      <c r="L637" s="1675"/>
      <c r="M637" s="1676"/>
      <c r="N637" s="1676"/>
      <c r="O637" s="1676"/>
      <c r="P637" s="1675"/>
      <c r="Q637" s="1675"/>
      <c r="R637" s="1675"/>
      <c r="S637" s="1675"/>
      <c r="T637" s="1675"/>
      <c r="U637" s="1675"/>
      <c r="V637" s="1675"/>
      <c r="W637" s="1675"/>
      <c r="X637" s="1675"/>
      <c r="Y637" s="1675"/>
      <c r="Z637" s="1675"/>
      <c r="AA637" s="1675"/>
    </row>
    <row r="638" spans="1:27" ht="13.5" customHeight="1" x14ac:dyDescent="0.3">
      <c r="A638" s="1675"/>
      <c r="B638" s="1675"/>
      <c r="C638" s="1678"/>
      <c r="D638" s="1771"/>
      <c r="E638" s="1771"/>
      <c r="F638" s="1771"/>
      <c r="G638" s="1689"/>
      <c r="H638" s="1674"/>
      <c r="I638" s="1675"/>
      <c r="J638" s="1675"/>
      <c r="K638" s="1675"/>
      <c r="L638" s="1675"/>
      <c r="M638" s="1676"/>
      <c r="N638" s="1676"/>
      <c r="O638" s="1676"/>
      <c r="P638" s="1675"/>
      <c r="Q638" s="1675"/>
      <c r="R638" s="1675"/>
      <c r="S638" s="1675"/>
      <c r="T638" s="1675"/>
      <c r="U638" s="1675"/>
      <c r="V638" s="1675"/>
      <c r="W638" s="1675"/>
      <c r="X638" s="1675"/>
      <c r="Y638" s="1675"/>
      <c r="Z638" s="1675"/>
      <c r="AA638" s="1675"/>
    </row>
    <row r="639" spans="1:27" ht="13.5" customHeight="1" x14ac:dyDescent="0.3">
      <c r="A639" s="1675"/>
      <c r="B639" s="1675"/>
      <c r="C639" s="1678"/>
      <c r="D639" s="1771"/>
      <c r="E639" s="1771"/>
      <c r="F639" s="1771"/>
      <c r="G639" s="1689"/>
      <c r="H639" s="1674"/>
      <c r="I639" s="1675"/>
      <c r="J639" s="1675"/>
      <c r="K639" s="1675"/>
      <c r="L639" s="1675"/>
      <c r="M639" s="1676"/>
      <c r="N639" s="1676"/>
      <c r="O639" s="1676"/>
      <c r="P639" s="1675"/>
      <c r="Q639" s="1675"/>
      <c r="R639" s="1675"/>
      <c r="S639" s="1675"/>
      <c r="T639" s="1675"/>
      <c r="U639" s="1675"/>
      <c r="V639" s="1675"/>
      <c r="W639" s="1675"/>
      <c r="X639" s="1675"/>
      <c r="Y639" s="1675"/>
      <c r="Z639" s="1675"/>
      <c r="AA639" s="1675"/>
    </row>
    <row r="640" spans="1:27" ht="13.5" customHeight="1" x14ac:dyDescent="0.3">
      <c r="A640" s="1675"/>
      <c r="B640" s="1675"/>
      <c r="C640" s="1678"/>
      <c r="D640" s="1771"/>
      <c r="E640" s="1771"/>
      <c r="F640" s="1771"/>
      <c r="G640" s="1689"/>
      <c r="H640" s="1674"/>
      <c r="I640" s="1675"/>
      <c r="J640" s="1675"/>
      <c r="K640" s="1675"/>
      <c r="L640" s="1675"/>
      <c r="M640" s="1676"/>
      <c r="N640" s="1676"/>
      <c r="O640" s="1676"/>
      <c r="P640" s="1675"/>
      <c r="Q640" s="1675"/>
      <c r="R640" s="1675"/>
      <c r="S640" s="1675"/>
      <c r="T640" s="1675"/>
      <c r="U640" s="1675"/>
      <c r="V640" s="1675"/>
      <c r="W640" s="1675"/>
      <c r="X640" s="1675"/>
      <c r="Y640" s="1675"/>
      <c r="Z640" s="1675"/>
      <c r="AA640" s="1675"/>
    </row>
    <row r="641" spans="1:27" ht="13.5" customHeight="1" x14ac:dyDescent="0.3">
      <c r="A641" s="1675"/>
      <c r="B641" s="1675"/>
      <c r="C641" s="1678"/>
      <c r="D641" s="1771"/>
      <c r="E641" s="1771"/>
      <c r="F641" s="1771"/>
      <c r="G641" s="1689"/>
      <c r="H641" s="1674"/>
      <c r="I641" s="1675"/>
      <c r="J641" s="1675"/>
      <c r="K641" s="1675"/>
      <c r="L641" s="1675"/>
      <c r="M641" s="1676"/>
      <c r="N641" s="1676"/>
      <c r="O641" s="1676"/>
      <c r="P641" s="1675"/>
      <c r="Q641" s="1675"/>
      <c r="R641" s="1675"/>
      <c r="S641" s="1675"/>
      <c r="T641" s="1675"/>
      <c r="U641" s="1675"/>
      <c r="V641" s="1675"/>
      <c r="W641" s="1675"/>
      <c r="X641" s="1675"/>
      <c r="Y641" s="1675"/>
      <c r="Z641" s="1675"/>
      <c r="AA641" s="1675"/>
    </row>
    <row r="642" spans="1:27" ht="13.5" customHeight="1" x14ac:dyDescent="0.3">
      <c r="A642" s="1675"/>
      <c r="B642" s="1675"/>
      <c r="C642" s="1678"/>
      <c r="D642" s="1771"/>
      <c r="E642" s="1771"/>
      <c r="F642" s="1771"/>
      <c r="G642" s="1689"/>
      <c r="H642" s="1674"/>
      <c r="I642" s="1675"/>
      <c r="J642" s="1675"/>
      <c r="K642" s="1675"/>
      <c r="L642" s="1675"/>
      <c r="M642" s="1676"/>
      <c r="N642" s="1676"/>
      <c r="O642" s="1676"/>
      <c r="P642" s="1675"/>
      <c r="Q642" s="1675"/>
      <c r="R642" s="1675"/>
      <c r="S642" s="1675"/>
      <c r="T642" s="1675"/>
      <c r="U642" s="1675"/>
      <c r="V642" s="1675"/>
      <c r="W642" s="1675"/>
      <c r="X642" s="1675"/>
      <c r="Y642" s="1675"/>
      <c r="Z642" s="1675"/>
      <c r="AA642" s="1675"/>
    </row>
    <row r="643" spans="1:27" ht="13.5" customHeight="1" x14ac:dyDescent="0.3">
      <c r="A643" s="1675"/>
      <c r="B643" s="1675"/>
      <c r="C643" s="1678"/>
      <c r="D643" s="1771"/>
      <c r="E643" s="1771"/>
      <c r="F643" s="1771"/>
      <c r="G643" s="1689"/>
      <c r="H643" s="1674"/>
      <c r="I643" s="1675"/>
      <c r="J643" s="1675"/>
      <c r="K643" s="1675"/>
      <c r="L643" s="1675"/>
      <c r="M643" s="1676"/>
      <c r="N643" s="1676"/>
      <c r="O643" s="1676"/>
      <c r="P643" s="1675"/>
      <c r="Q643" s="1675"/>
      <c r="R643" s="1675"/>
      <c r="S643" s="1675"/>
      <c r="T643" s="1675"/>
      <c r="U643" s="1675"/>
      <c r="V643" s="1675"/>
      <c r="W643" s="1675"/>
      <c r="X643" s="1675"/>
      <c r="Y643" s="1675"/>
      <c r="Z643" s="1675"/>
      <c r="AA643" s="1675"/>
    </row>
    <row r="644" spans="1:27" ht="13.5" customHeight="1" x14ac:dyDescent="0.3">
      <c r="A644" s="1675"/>
      <c r="B644" s="1675"/>
      <c r="C644" s="1678"/>
      <c r="D644" s="1771"/>
      <c r="E644" s="1771"/>
      <c r="F644" s="1771"/>
      <c r="G644" s="1689"/>
      <c r="H644" s="1674"/>
      <c r="I644" s="1675"/>
      <c r="J644" s="1675"/>
      <c r="K644" s="1675"/>
      <c r="L644" s="1675"/>
      <c r="M644" s="1676"/>
      <c r="N644" s="1676"/>
      <c r="O644" s="1676"/>
      <c r="P644" s="1675"/>
      <c r="Q644" s="1675"/>
      <c r="R644" s="1675"/>
      <c r="S644" s="1675"/>
      <c r="T644" s="1675"/>
      <c r="U644" s="1675"/>
      <c r="V644" s="1675"/>
      <c r="W644" s="1675"/>
      <c r="X644" s="1675"/>
      <c r="Y644" s="1675"/>
      <c r="Z644" s="1675"/>
      <c r="AA644" s="1675"/>
    </row>
    <row r="645" spans="1:27" ht="13.5" customHeight="1" x14ac:dyDescent="0.3">
      <c r="A645" s="1675"/>
      <c r="B645" s="1675"/>
      <c r="C645" s="1678"/>
      <c r="D645" s="1771"/>
      <c r="E645" s="1771"/>
      <c r="F645" s="1771"/>
      <c r="G645" s="1689"/>
      <c r="H645" s="1674"/>
      <c r="I645" s="1675"/>
      <c r="J645" s="1675"/>
      <c r="K645" s="1675"/>
      <c r="L645" s="1675"/>
      <c r="M645" s="1676"/>
      <c r="N645" s="1676"/>
      <c r="O645" s="1676"/>
      <c r="P645" s="1675"/>
      <c r="Q645" s="1675"/>
      <c r="R645" s="1675"/>
      <c r="S645" s="1675"/>
      <c r="T645" s="1675"/>
      <c r="U645" s="1675"/>
      <c r="V645" s="1675"/>
      <c r="W645" s="1675"/>
      <c r="X645" s="1675"/>
      <c r="Y645" s="1675"/>
      <c r="Z645" s="1675"/>
      <c r="AA645" s="1675"/>
    </row>
    <row r="646" spans="1:27" ht="13.5" customHeight="1" x14ac:dyDescent="0.3">
      <c r="A646" s="1675"/>
      <c r="B646" s="1675"/>
      <c r="C646" s="1678"/>
      <c r="D646" s="1771"/>
      <c r="E646" s="1771"/>
      <c r="F646" s="1771"/>
      <c r="G646" s="1689"/>
      <c r="H646" s="1674"/>
      <c r="I646" s="1675"/>
      <c r="J646" s="1675"/>
      <c r="K646" s="1675"/>
      <c r="L646" s="1675"/>
      <c r="M646" s="1676"/>
      <c r="N646" s="1676"/>
      <c r="O646" s="1676"/>
      <c r="P646" s="1675"/>
      <c r="Q646" s="1675"/>
      <c r="R646" s="1675"/>
      <c r="S646" s="1675"/>
      <c r="T646" s="1675"/>
      <c r="U646" s="1675"/>
      <c r="V646" s="1675"/>
      <c r="W646" s="1675"/>
      <c r="X646" s="1675"/>
      <c r="Y646" s="1675"/>
      <c r="Z646" s="1675"/>
      <c r="AA646" s="1675"/>
    </row>
    <row r="647" spans="1:27" ht="13.5" customHeight="1" x14ac:dyDescent="0.3">
      <c r="A647" s="1675"/>
      <c r="B647" s="1675"/>
      <c r="C647" s="1678"/>
      <c r="D647" s="1771"/>
      <c r="E647" s="1771"/>
      <c r="F647" s="1771"/>
      <c r="G647" s="1689"/>
      <c r="H647" s="1674"/>
      <c r="I647" s="1675"/>
      <c r="J647" s="1675"/>
      <c r="K647" s="1675"/>
      <c r="L647" s="1675"/>
      <c r="M647" s="1676"/>
      <c r="N647" s="1676"/>
      <c r="O647" s="1676"/>
      <c r="P647" s="1675"/>
      <c r="Q647" s="1675"/>
      <c r="R647" s="1675"/>
      <c r="S647" s="1675"/>
      <c r="T647" s="1675"/>
      <c r="U647" s="1675"/>
      <c r="V647" s="1675"/>
      <c r="W647" s="1675"/>
      <c r="X647" s="1675"/>
      <c r="Y647" s="1675"/>
      <c r="Z647" s="1675"/>
      <c r="AA647" s="1675"/>
    </row>
    <row r="648" spans="1:27" ht="13.5" customHeight="1" x14ac:dyDescent="0.3">
      <c r="A648" s="1675"/>
      <c r="B648" s="1675"/>
      <c r="C648" s="1678"/>
      <c r="D648" s="1771"/>
      <c r="E648" s="1771"/>
      <c r="F648" s="1771"/>
      <c r="G648" s="1689"/>
      <c r="H648" s="1674"/>
      <c r="I648" s="1675"/>
      <c r="J648" s="1675"/>
      <c r="K648" s="1675"/>
      <c r="L648" s="1675"/>
      <c r="M648" s="1676"/>
      <c r="N648" s="1676"/>
      <c r="O648" s="1676"/>
      <c r="P648" s="1675"/>
      <c r="Q648" s="1675"/>
      <c r="R648" s="1675"/>
      <c r="S648" s="1675"/>
      <c r="T648" s="1675"/>
      <c r="U648" s="1675"/>
      <c r="V648" s="1675"/>
      <c r="W648" s="1675"/>
      <c r="X648" s="1675"/>
      <c r="Y648" s="1675"/>
      <c r="Z648" s="1675"/>
      <c r="AA648" s="1675"/>
    </row>
    <row r="649" spans="1:27" ht="13.5" customHeight="1" x14ac:dyDescent="0.3">
      <c r="A649" s="1675"/>
      <c r="B649" s="1675"/>
      <c r="C649" s="1678"/>
      <c r="D649" s="1771"/>
      <c r="E649" s="1771"/>
      <c r="F649" s="1771"/>
      <c r="G649" s="1689"/>
      <c r="H649" s="1674"/>
      <c r="I649" s="1675"/>
      <c r="J649" s="1675"/>
      <c r="K649" s="1675"/>
      <c r="L649" s="1675"/>
      <c r="M649" s="1676"/>
      <c r="N649" s="1676"/>
      <c r="O649" s="1676"/>
      <c r="P649" s="1675"/>
      <c r="Q649" s="1675"/>
      <c r="R649" s="1675"/>
      <c r="S649" s="1675"/>
      <c r="T649" s="1675"/>
      <c r="U649" s="1675"/>
      <c r="V649" s="1675"/>
      <c r="W649" s="1675"/>
      <c r="X649" s="1675"/>
      <c r="Y649" s="1675"/>
      <c r="Z649" s="1675"/>
      <c r="AA649" s="1675"/>
    </row>
    <row r="650" spans="1:27" ht="13.5" customHeight="1" x14ac:dyDescent="0.3">
      <c r="A650" s="1675"/>
      <c r="B650" s="1675"/>
      <c r="C650" s="1678"/>
      <c r="D650" s="1771"/>
      <c r="E650" s="1771"/>
      <c r="F650" s="1771"/>
      <c r="G650" s="1689"/>
      <c r="H650" s="1674"/>
      <c r="I650" s="1675"/>
      <c r="J650" s="1675"/>
      <c r="K650" s="1675"/>
      <c r="L650" s="1675"/>
      <c r="M650" s="1676"/>
      <c r="N650" s="1676"/>
      <c r="O650" s="1676"/>
      <c r="P650" s="1675"/>
      <c r="Q650" s="1675"/>
      <c r="R650" s="1675"/>
      <c r="S650" s="1675"/>
      <c r="T650" s="1675"/>
      <c r="U650" s="1675"/>
      <c r="V650" s="1675"/>
      <c r="W650" s="1675"/>
      <c r="X650" s="1675"/>
      <c r="Y650" s="1675"/>
      <c r="Z650" s="1675"/>
      <c r="AA650" s="1675"/>
    </row>
    <row r="651" spans="1:27" ht="13.5" customHeight="1" x14ac:dyDescent="0.3">
      <c r="A651" s="1675"/>
      <c r="B651" s="1675"/>
      <c r="C651" s="1678"/>
      <c r="D651" s="1771"/>
      <c r="E651" s="1771"/>
      <c r="F651" s="1771"/>
      <c r="G651" s="1689"/>
      <c r="H651" s="1674"/>
      <c r="I651" s="1675"/>
      <c r="J651" s="1675"/>
      <c r="K651" s="1675"/>
      <c r="L651" s="1675"/>
      <c r="M651" s="1676"/>
      <c r="N651" s="1676"/>
      <c r="O651" s="1676"/>
      <c r="P651" s="1675"/>
      <c r="Q651" s="1675"/>
      <c r="R651" s="1675"/>
      <c r="S651" s="1675"/>
      <c r="T651" s="1675"/>
      <c r="U651" s="1675"/>
      <c r="V651" s="1675"/>
      <c r="W651" s="1675"/>
      <c r="X651" s="1675"/>
      <c r="Y651" s="1675"/>
      <c r="Z651" s="1675"/>
      <c r="AA651" s="1675"/>
    </row>
    <row r="652" spans="1:27" ht="13.5" customHeight="1" x14ac:dyDescent="0.3">
      <c r="A652" s="1675"/>
      <c r="B652" s="1675"/>
      <c r="C652" s="1678"/>
      <c r="D652" s="1771"/>
      <c r="E652" s="1771"/>
      <c r="F652" s="1771"/>
      <c r="G652" s="1689"/>
      <c r="H652" s="1674"/>
      <c r="I652" s="1675"/>
      <c r="J652" s="1675"/>
      <c r="K652" s="1675"/>
      <c r="L652" s="1675"/>
      <c r="M652" s="1676"/>
      <c r="N652" s="1676"/>
      <c r="O652" s="1676"/>
      <c r="P652" s="1675"/>
      <c r="Q652" s="1675"/>
      <c r="R652" s="1675"/>
      <c r="S652" s="1675"/>
      <c r="T652" s="1675"/>
      <c r="U652" s="1675"/>
      <c r="V652" s="1675"/>
      <c r="W652" s="1675"/>
      <c r="X652" s="1675"/>
      <c r="Y652" s="1675"/>
      <c r="Z652" s="1675"/>
      <c r="AA652" s="1675"/>
    </row>
    <row r="653" spans="1:27" ht="13.5" customHeight="1" x14ac:dyDescent="0.3">
      <c r="A653" s="1675"/>
      <c r="B653" s="1675"/>
      <c r="C653" s="1678"/>
      <c r="D653" s="1771"/>
      <c r="E653" s="1771"/>
      <c r="F653" s="1771"/>
      <c r="G653" s="1689"/>
      <c r="H653" s="1674"/>
      <c r="I653" s="1675"/>
      <c r="J653" s="1675"/>
      <c r="K653" s="1675"/>
      <c r="L653" s="1675"/>
      <c r="M653" s="1676"/>
      <c r="N653" s="1676"/>
      <c r="O653" s="1676"/>
      <c r="P653" s="1675"/>
      <c r="Q653" s="1675"/>
      <c r="R653" s="1675"/>
      <c r="S653" s="1675"/>
      <c r="T653" s="1675"/>
      <c r="U653" s="1675"/>
      <c r="V653" s="1675"/>
      <c r="W653" s="1675"/>
      <c r="X653" s="1675"/>
      <c r="Y653" s="1675"/>
      <c r="Z653" s="1675"/>
      <c r="AA653" s="1675"/>
    </row>
    <row r="654" spans="1:27" ht="13.5" customHeight="1" x14ac:dyDescent="0.3">
      <c r="A654" s="1675"/>
      <c r="B654" s="1675"/>
      <c r="C654" s="1678"/>
      <c r="D654" s="1771"/>
      <c r="E654" s="1771"/>
      <c r="F654" s="1771"/>
      <c r="G654" s="1689"/>
      <c r="H654" s="1674"/>
      <c r="I654" s="1675"/>
      <c r="J654" s="1675"/>
      <c r="K654" s="1675"/>
      <c r="L654" s="1675"/>
      <c r="M654" s="1676"/>
      <c r="N654" s="1676"/>
      <c r="O654" s="1676"/>
      <c r="P654" s="1675"/>
      <c r="Q654" s="1675"/>
      <c r="R654" s="1675"/>
      <c r="S654" s="1675"/>
      <c r="T654" s="1675"/>
      <c r="U654" s="1675"/>
      <c r="V654" s="1675"/>
      <c r="W654" s="1675"/>
      <c r="X654" s="1675"/>
      <c r="Y654" s="1675"/>
      <c r="Z654" s="1675"/>
      <c r="AA654" s="1675"/>
    </row>
    <row r="655" spans="1:27" ht="13.5" customHeight="1" x14ac:dyDescent="0.3">
      <c r="A655" s="1675"/>
      <c r="B655" s="1675"/>
      <c r="C655" s="1678"/>
      <c r="D655" s="1771"/>
      <c r="E655" s="1771"/>
      <c r="F655" s="1771"/>
      <c r="G655" s="1689"/>
      <c r="H655" s="1674"/>
      <c r="I655" s="1675"/>
      <c r="J655" s="1675"/>
      <c r="K655" s="1675"/>
      <c r="L655" s="1675"/>
      <c r="M655" s="1676"/>
      <c r="N655" s="1676"/>
      <c r="O655" s="1676"/>
      <c r="P655" s="1675"/>
      <c r="Q655" s="1675"/>
      <c r="R655" s="1675"/>
      <c r="S655" s="1675"/>
      <c r="T655" s="1675"/>
      <c r="U655" s="1675"/>
      <c r="V655" s="1675"/>
      <c r="W655" s="1675"/>
      <c r="X655" s="1675"/>
      <c r="Y655" s="1675"/>
      <c r="Z655" s="1675"/>
      <c r="AA655" s="1675"/>
    </row>
    <row r="656" spans="1:27" ht="13.5" customHeight="1" x14ac:dyDescent="0.3">
      <c r="A656" s="1675"/>
      <c r="B656" s="1675"/>
      <c r="C656" s="1678"/>
      <c r="D656" s="1771"/>
      <c r="E656" s="1771"/>
      <c r="F656" s="1771"/>
      <c r="G656" s="1689"/>
      <c r="H656" s="1674"/>
      <c r="I656" s="1675"/>
      <c r="J656" s="1675"/>
      <c r="K656" s="1675"/>
      <c r="L656" s="1675"/>
      <c r="M656" s="1676"/>
      <c r="N656" s="1676"/>
      <c r="O656" s="1676"/>
      <c r="P656" s="1675"/>
      <c r="Q656" s="1675"/>
      <c r="R656" s="1675"/>
      <c r="S656" s="1675"/>
      <c r="T656" s="1675"/>
      <c r="U656" s="1675"/>
      <c r="V656" s="1675"/>
      <c r="W656" s="1675"/>
      <c r="X656" s="1675"/>
      <c r="Y656" s="1675"/>
      <c r="Z656" s="1675"/>
      <c r="AA656" s="1675"/>
    </row>
    <row r="657" spans="1:27" ht="13.5" customHeight="1" x14ac:dyDescent="0.3">
      <c r="A657" s="1675"/>
      <c r="B657" s="1675"/>
      <c r="C657" s="1678"/>
      <c r="D657" s="1771"/>
      <c r="E657" s="1771"/>
      <c r="F657" s="1771"/>
      <c r="G657" s="1689"/>
      <c r="H657" s="1674"/>
      <c r="I657" s="1675"/>
      <c r="J657" s="1675"/>
      <c r="K657" s="1675"/>
      <c r="L657" s="1675"/>
      <c r="M657" s="1676"/>
      <c r="N657" s="1676"/>
      <c r="O657" s="1676"/>
      <c r="P657" s="1675"/>
      <c r="Q657" s="1675"/>
      <c r="R657" s="1675"/>
      <c r="S657" s="1675"/>
      <c r="T657" s="1675"/>
      <c r="U657" s="1675"/>
      <c r="V657" s="1675"/>
      <c r="W657" s="1675"/>
      <c r="X657" s="1675"/>
      <c r="Y657" s="1675"/>
      <c r="Z657" s="1675"/>
      <c r="AA657" s="1675"/>
    </row>
    <row r="658" spans="1:27" ht="13.5" customHeight="1" x14ac:dyDescent="0.3">
      <c r="A658" s="1675"/>
      <c r="B658" s="1675"/>
      <c r="C658" s="1678"/>
      <c r="D658" s="1771"/>
      <c r="E658" s="1771"/>
      <c r="F658" s="1771"/>
      <c r="G658" s="1689"/>
      <c r="H658" s="1674"/>
      <c r="I658" s="1675"/>
      <c r="J658" s="1675"/>
      <c r="K658" s="1675"/>
      <c r="L658" s="1675"/>
      <c r="M658" s="1676"/>
      <c r="N658" s="1676"/>
      <c r="O658" s="1676"/>
      <c r="P658" s="1675"/>
      <c r="Q658" s="1675"/>
      <c r="R658" s="1675"/>
      <c r="S658" s="1675"/>
      <c r="T658" s="1675"/>
      <c r="U658" s="1675"/>
      <c r="V658" s="1675"/>
      <c r="W658" s="1675"/>
      <c r="X658" s="1675"/>
      <c r="Y658" s="1675"/>
      <c r="Z658" s="1675"/>
      <c r="AA658" s="1675"/>
    </row>
    <row r="659" spans="1:27" ht="13.5" customHeight="1" x14ac:dyDescent="0.3">
      <c r="A659" s="1675"/>
      <c r="B659" s="1675"/>
      <c r="C659" s="1678"/>
      <c r="D659" s="1771"/>
      <c r="E659" s="1771"/>
      <c r="F659" s="1771"/>
      <c r="G659" s="1689"/>
      <c r="H659" s="1674"/>
      <c r="I659" s="1675"/>
      <c r="J659" s="1675"/>
      <c r="K659" s="1675"/>
      <c r="L659" s="1675"/>
      <c r="M659" s="1676"/>
      <c r="N659" s="1676"/>
      <c r="O659" s="1676"/>
      <c r="P659" s="1675"/>
      <c r="Q659" s="1675"/>
      <c r="R659" s="1675"/>
      <c r="S659" s="1675"/>
      <c r="T659" s="1675"/>
      <c r="U659" s="1675"/>
      <c r="V659" s="1675"/>
      <c r="W659" s="1675"/>
      <c r="X659" s="1675"/>
      <c r="Y659" s="1675"/>
      <c r="Z659" s="1675"/>
      <c r="AA659" s="1675"/>
    </row>
    <row r="660" spans="1:27" ht="13.5" customHeight="1" x14ac:dyDescent="0.3">
      <c r="A660" s="1675"/>
      <c r="B660" s="1675"/>
      <c r="C660" s="1678"/>
      <c r="D660" s="1771"/>
      <c r="E660" s="1771"/>
      <c r="F660" s="1771"/>
      <c r="G660" s="1689"/>
      <c r="H660" s="1674"/>
      <c r="I660" s="1675"/>
      <c r="J660" s="1675"/>
      <c r="K660" s="1675"/>
      <c r="L660" s="1675"/>
      <c r="M660" s="1676"/>
      <c r="N660" s="1676"/>
      <c r="O660" s="1676"/>
      <c r="P660" s="1675"/>
      <c r="Q660" s="1675"/>
      <c r="R660" s="1675"/>
      <c r="S660" s="1675"/>
      <c r="T660" s="1675"/>
      <c r="U660" s="1675"/>
      <c r="V660" s="1675"/>
      <c r="W660" s="1675"/>
      <c r="X660" s="1675"/>
      <c r="Y660" s="1675"/>
      <c r="Z660" s="1675"/>
      <c r="AA660" s="1675"/>
    </row>
    <row r="661" spans="1:27" ht="13.5" customHeight="1" x14ac:dyDescent="0.3">
      <c r="A661" s="1675"/>
      <c r="B661" s="1675"/>
      <c r="C661" s="1678"/>
      <c r="D661" s="1771"/>
      <c r="E661" s="1771"/>
      <c r="F661" s="1771"/>
      <c r="G661" s="1689"/>
      <c r="H661" s="1674"/>
      <c r="I661" s="1675"/>
      <c r="J661" s="1675"/>
      <c r="K661" s="1675"/>
      <c r="L661" s="1675"/>
      <c r="M661" s="1676"/>
      <c r="N661" s="1676"/>
      <c r="O661" s="1676"/>
      <c r="P661" s="1675"/>
      <c r="Q661" s="1675"/>
      <c r="R661" s="1675"/>
      <c r="S661" s="1675"/>
      <c r="T661" s="1675"/>
      <c r="U661" s="1675"/>
      <c r="V661" s="1675"/>
      <c r="W661" s="1675"/>
      <c r="X661" s="1675"/>
      <c r="Y661" s="1675"/>
      <c r="Z661" s="1675"/>
      <c r="AA661" s="1675"/>
    </row>
    <row r="662" spans="1:27" ht="13.5" customHeight="1" x14ac:dyDescent="0.3">
      <c r="A662" s="1675"/>
      <c r="B662" s="1675"/>
      <c r="C662" s="1678"/>
      <c r="D662" s="1771"/>
      <c r="E662" s="1771"/>
      <c r="F662" s="1771"/>
      <c r="G662" s="1689"/>
      <c r="H662" s="1674"/>
      <c r="I662" s="1675"/>
      <c r="J662" s="1675"/>
      <c r="K662" s="1675"/>
      <c r="L662" s="1675"/>
      <c r="M662" s="1676"/>
      <c r="N662" s="1676"/>
      <c r="O662" s="1676"/>
      <c r="P662" s="1675"/>
      <c r="Q662" s="1675"/>
      <c r="R662" s="1675"/>
      <c r="S662" s="1675"/>
      <c r="T662" s="1675"/>
      <c r="U662" s="1675"/>
      <c r="V662" s="1675"/>
      <c r="W662" s="1675"/>
      <c r="X662" s="1675"/>
      <c r="Y662" s="1675"/>
      <c r="Z662" s="1675"/>
      <c r="AA662" s="1675"/>
    </row>
    <row r="663" spans="1:27" ht="13.5" customHeight="1" x14ac:dyDescent="0.3">
      <c r="A663" s="1675"/>
      <c r="B663" s="1675"/>
      <c r="C663" s="1678"/>
      <c r="D663" s="1771"/>
      <c r="E663" s="1771"/>
      <c r="F663" s="1771"/>
      <c r="G663" s="1689"/>
      <c r="H663" s="1674"/>
      <c r="I663" s="1675"/>
      <c r="J663" s="1675"/>
      <c r="K663" s="1675"/>
      <c r="L663" s="1675"/>
      <c r="M663" s="1676"/>
      <c r="N663" s="1676"/>
      <c r="O663" s="1676"/>
      <c r="P663" s="1675"/>
      <c r="Q663" s="1675"/>
      <c r="R663" s="1675"/>
      <c r="S663" s="1675"/>
      <c r="T663" s="1675"/>
      <c r="U663" s="1675"/>
      <c r="V663" s="1675"/>
      <c r="W663" s="1675"/>
      <c r="X663" s="1675"/>
      <c r="Y663" s="1675"/>
      <c r="Z663" s="1675"/>
      <c r="AA663" s="1675"/>
    </row>
    <row r="664" spans="1:27" ht="13.5" customHeight="1" x14ac:dyDescent="0.3">
      <c r="A664" s="1675"/>
      <c r="B664" s="1675"/>
      <c r="C664" s="1678"/>
      <c r="D664" s="1771"/>
      <c r="E664" s="1771"/>
      <c r="F664" s="1771"/>
      <c r="G664" s="1689"/>
      <c r="H664" s="1674"/>
      <c r="I664" s="1675"/>
      <c r="J664" s="1675"/>
      <c r="K664" s="1675"/>
      <c r="L664" s="1675"/>
      <c r="M664" s="1676"/>
      <c r="N664" s="1676"/>
      <c r="O664" s="1676"/>
      <c r="P664" s="1675"/>
      <c r="Q664" s="1675"/>
      <c r="R664" s="1675"/>
      <c r="S664" s="1675"/>
      <c r="T664" s="1675"/>
      <c r="U664" s="1675"/>
      <c r="V664" s="1675"/>
      <c r="W664" s="1675"/>
      <c r="X664" s="1675"/>
      <c r="Y664" s="1675"/>
      <c r="Z664" s="1675"/>
      <c r="AA664" s="1675"/>
    </row>
    <row r="665" spans="1:27" ht="13.5" customHeight="1" x14ac:dyDescent="0.3">
      <c r="A665" s="1675"/>
      <c r="B665" s="1675"/>
      <c r="C665" s="1678"/>
      <c r="D665" s="1771"/>
      <c r="E665" s="1771"/>
      <c r="F665" s="1771"/>
      <c r="G665" s="1689"/>
      <c r="H665" s="1674"/>
      <c r="I665" s="1675"/>
      <c r="J665" s="1675"/>
      <c r="K665" s="1675"/>
      <c r="L665" s="1675"/>
      <c r="M665" s="1676"/>
      <c r="N665" s="1676"/>
      <c r="O665" s="1676"/>
      <c r="P665" s="1675"/>
      <c r="Q665" s="1675"/>
      <c r="R665" s="1675"/>
      <c r="S665" s="1675"/>
      <c r="T665" s="1675"/>
      <c r="U665" s="1675"/>
      <c r="V665" s="1675"/>
      <c r="W665" s="1675"/>
      <c r="X665" s="1675"/>
      <c r="Y665" s="1675"/>
      <c r="Z665" s="1675"/>
      <c r="AA665" s="1675"/>
    </row>
    <row r="666" spans="1:27" ht="13.5" customHeight="1" x14ac:dyDescent="0.3">
      <c r="A666" s="1675"/>
      <c r="B666" s="1675"/>
      <c r="C666" s="1678"/>
      <c r="D666" s="1771"/>
      <c r="E666" s="1771"/>
      <c r="F666" s="1771"/>
      <c r="G666" s="1689"/>
      <c r="H666" s="1674"/>
      <c r="I666" s="1675"/>
      <c r="J666" s="1675"/>
      <c r="K666" s="1675"/>
      <c r="L666" s="1675"/>
      <c r="M666" s="1676"/>
      <c r="N666" s="1676"/>
      <c r="O666" s="1676"/>
      <c r="P666" s="1675"/>
      <c r="Q666" s="1675"/>
      <c r="R666" s="1675"/>
      <c r="S666" s="1675"/>
      <c r="T666" s="1675"/>
      <c r="U666" s="1675"/>
      <c r="V666" s="1675"/>
      <c r="W666" s="1675"/>
      <c r="X666" s="1675"/>
      <c r="Y666" s="1675"/>
      <c r="Z666" s="1675"/>
      <c r="AA666" s="1675"/>
    </row>
    <row r="667" spans="1:27" ht="13.5" customHeight="1" x14ac:dyDescent="0.3">
      <c r="A667" s="1675"/>
      <c r="B667" s="1675"/>
      <c r="C667" s="1678"/>
      <c r="D667" s="1771"/>
      <c r="E667" s="1771"/>
      <c r="F667" s="1771"/>
      <c r="G667" s="1689"/>
      <c r="H667" s="1674"/>
      <c r="I667" s="1675"/>
      <c r="J667" s="1675"/>
      <c r="K667" s="1675"/>
      <c r="L667" s="1675"/>
      <c r="M667" s="1676"/>
      <c r="N667" s="1676"/>
      <c r="O667" s="1676"/>
      <c r="P667" s="1675"/>
      <c r="Q667" s="1675"/>
      <c r="R667" s="1675"/>
      <c r="S667" s="1675"/>
      <c r="T667" s="1675"/>
      <c r="U667" s="1675"/>
      <c r="V667" s="1675"/>
      <c r="W667" s="1675"/>
      <c r="X667" s="1675"/>
      <c r="Y667" s="1675"/>
      <c r="Z667" s="1675"/>
      <c r="AA667" s="1675"/>
    </row>
    <row r="668" spans="1:27" ht="13.5" customHeight="1" x14ac:dyDescent="0.3">
      <c r="A668" s="1675"/>
      <c r="B668" s="1675"/>
      <c r="C668" s="1678"/>
      <c r="D668" s="1771"/>
      <c r="E668" s="1771"/>
      <c r="F668" s="1771"/>
      <c r="G668" s="1689"/>
      <c r="H668" s="1674"/>
      <c r="I668" s="1675"/>
      <c r="J668" s="1675"/>
      <c r="K668" s="1675"/>
      <c r="L668" s="1675"/>
      <c r="M668" s="1676"/>
      <c r="N668" s="1676"/>
      <c r="O668" s="1676"/>
      <c r="P668" s="1675"/>
      <c r="Q668" s="1675"/>
      <c r="R668" s="1675"/>
      <c r="S668" s="1675"/>
      <c r="T668" s="1675"/>
      <c r="U668" s="1675"/>
      <c r="V668" s="1675"/>
      <c r="W668" s="1675"/>
      <c r="X668" s="1675"/>
      <c r="Y668" s="1675"/>
      <c r="Z668" s="1675"/>
      <c r="AA668" s="1675"/>
    </row>
    <row r="669" spans="1:27" ht="13.5" customHeight="1" x14ac:dyDescent="0.3">
      <c r="A669" s="1675"/>
      <c r="B669" s="1675"/>
      <c r="C669" s="1678"/>
      <c r="D669" s="1771"/>
      <c r="E669" s="1771"/>
      <c r="F669" s="1771"/>
      <c r="G669" s="1689"/>
      <c r="H669" s="1674"/>
      <c r="I669" s="1675"/>
      <c r="J669" s="1675"/>
      <c r="K669" s="1675"/>
      <c r="L669" s="1675"/>
      <c r="M669" s="1676"/>
      <c r="N669" s="1676"/>
      <c r="O669" s="1676"/>
      <c r="P669" s="1675"/>
      <c r="Q669" s="1675"/>
      <c r="R669" s="1675"/>
      <c r="S669" s="1675"/>
      <c r="T669" s="1675"/>
      <c r="U669" s="1675"/>
      <c r="V669" s="1675"/>
      <c r="W669" s="1675"/>
      <c r="X669" s="1675"/>
      <c r="Y669" s="1675"/>
      <c r="Z669" s="1675"/>
      <c r="AA669" s="1675"/>
    </row>
    <row r="670" spans="1:27" ht="13.5" customHeight="1" x14ac:dyDescent="0.3">
      <c r="A670" s="1675"/>
      <c r="B670" s="1675"/>
      <c r="C670" s="1678"/>
      <c r="D670" s="1771"/>
      <c r="E670" s="1771"/>
      <c r="F670" s="1771"/>
      <c r="G670" s="1689"/>
      <c r="H670" s="1674"/>
      <c r="I670" s="1675"/>
      <c r="J670" s="1675"/>
      <c r="K670" s="1675"/>
      <c r="L670" s="1675"/>
      <c r="M670" s="1676"/>
      <c r="N670" s="1676"/>
      <c r="O670" s="1676"/>
      <c r="P670" s="1675"/>
      <c r="Q670" s="1675"/>
      <c r="R670" s="1675"/>
      <c r="S670" s="1675"/>
      <c r="T670" s="1675"/>
      <c r="U670" s="1675"/>
      <c r="V670" s="1675"/>
      <c r="W670" s="1675"/>
      <c r="X670" s="1675"/>
      <c r="Y670" s="1675"/>
      <c r="Z670" s="1675"/>
      <c r="AA670" s="1675"/>
    </row>
    <row r="671" spans="1:27" ht="13.5" customHeight="1" x14ac:dyDescent="0.3">
      <c r="A671" s="1675"/>
      <c r="B671" s="1675"/>
      <c r="C671" s="1678"/>
      <c r="D671" s="1771"/>
      <c r="E671" s="1771"/>
      <c r="F671" s="1771"/>
      <c r="G671" s="1689"/>
      <c r="H671" s="1674"/>
      <c r="I671" s="1675"/>
      <c r="J671" s="1675"/>
      <c r="K671" s="1675"/>
      <c r="L671" s="1675"/>
      <c r="M671" s="1676"/>
      <c r="N671" s="1676"/>
      <c r="O671" s="1676"/>
      <c r="P671" s="1675"/>
      <c r="Q671" s="1675"/>
      <c r="R671" s="1675"/>
      <c r="S671" s="1675"/>
      <c r="T671" s="1675"/>
      <c r="U671" s="1675"/>
      <c r="V671" s="1675"/>
      <c r="W671" s="1675"/>
      <c r="X671" s="1675"/>
      <c r="Y671" s="1675"/>
      <c r="Z671" s="1675"/>
      <c r="AA671" s="1675"/>
    </row>
    <row r="672" spans="1:27" ht="13.5" customHeight="1" x14ac:dyDescent="0.3">
      <c r="A672" s="1675"/>
      <c r="B672" s="1675"/>
      <c r="C672" s="1678"/>
      <c r="D672" s="1771"/>
      <c r="E672" s="1771"/>
      <c r="F672" s="1771"/>
      <c r="G672" s="1689"/>
      <c r="H672" s="1674"/>
      <c r="I672" s="1675"/>
      <c r="J672" s="1675"/>
      <c r="K672" s="1675"/>
      <c r="L672" s="1675"/>
      <c r="M672" s="1676"/>
      <c r="N672" s="1676"/>
      <c r="O672" s="1676"/>
      <c r="P672" s="1675"/>
      <c r="Q672" s="1675"/>
      <c r="R672" s="1675"/>
      <c r="S672" s="1675"/>
      <c r="T672" s="1675"/>
      <c r="U672" s="1675"/>
      <c r="V672" s="1675"/>
      <c r="W672" s="1675"/>
      <c r="X672" s="1675"/>
      <c r="Y672" s="1675"/>
      <c r="Z672" s="1675"/>
      <c r="AA672" s="1675"/>
    </row>
    <row r="673" spans="1:27" ht="13.5" customHeight="1" x14ac:dyDescent="0.3">
      <c r="A673" s="1675"/>
      <c r="B673" s="1675"/>
      <c r="C673" s="1678"/>
      <c r="D673" s="1771"/>
      <c r="E673" s="1771"/>
      <c r="F673" s="1771"/>
      <c r="G673" s="1689"/>
      <c r="H673" s="1674"/>
      <c r="I673" s="1675"/>
      <c r="J673" s="1675"/>
      <c r="K673" s="1675"/>
      <c r="L673" s="1675"/>
      <c r="M673" s="1676"/>
      <c r="N673" s="1676"/>
      <c r="O673" s="1676"/>
      <c r="P673" s="1675"/>
      <c r="Q673" s="1675"/>
      <c r="R673" s="1675"/>
      <c r="S673" s="1675"/>
      <c r="T673" s="1675"/>
      <c r="U673" s="1675"/>
      <c r="V673" s="1675"/>
      <c r="W673" s="1675"/>
      <c r="X673" s="1675"/>
      <c r="Y673" s="1675"/>
      <c r="Z673" s="1675"/>
      <c r="AA673" s="1675"/>
    </row>
    <row r="674" spans="1:27" ht="13.5" customHeight="1" x14ac:dyDescent="0.3">
      <c r="A674" s="1675"/>
      <c r="B674" s="1675"/>
      <c r="C674" s="1678"/>
      <c r="D674" s="1771"/>
      <c r="E674" s="1771"/>
      <c r="F674" s="1771"/>
      <c r="G674" s="1689"/>
      <c r="H674" s="1674"/>
      <c r="I674" s="1675"/>
      <c r="J674" s="1675"/>
      <c r="K674" s="1675"/>
      <c r="L674" s="1675"/>
      <c r="M674" s="1676"/>
      <c r="N674" s="1676"/>
      <c r="O674" s="1676"/>
      <c r="P674" s="1675"/>
      <c r="Q674" s="1675"/>
      <c r="R674" s="1675"/>
      <c r="S674" s="1675"/>
      <c r="T674" s="1675"/>
      <c r="U674" s="1675"/>
      <c r="V674" s="1675"/>
      <c r="W674" s="1675"/>
      <c r="X674" s="1675"/>
      <c r="Y674" s="1675"/>
      <c r="Z674" s="1675"/>
      <c r="AA674" s="1675"/>
    </row>
    <row r="675" spans="1:27" ht="13.5" customHeight="1" x14ac:dyDescent="0.3">
      <c r="A675" s="1675"/>
      <c r="B675" s="1675"/>
      <c r="C675" s="1678"/>
      <c r="D675" s="1771"/>
      <c r="E675" s="1771"/>
      <c r="F675" s="1771"/>
      <c r="G675" s="1689"/>
      <c r="H675" s="1674"/>
      <c r="I675" s="1675"/>
      <c r="J675" s="1675"/>
      <c r="K675" s="1675"/>
      <c r="L675" s="1675"/>
      <c r="M675" s="1676"/>
      <c r="N675" s="1676"/>
      <c r="O675" s="1676"/>
      <c r="P675" s="1675"/>
      <c r="Q675" s="1675"/>
      <c r="R675" s="1675"/>
      <c r="S675" s="1675"/>
      <c r="T675" s="1675"/>
      <c r="U675" s="1675"/>
      <c r="V675" s="1675"/>
      <c r="W675" s="1675"/>
      <c r="X675" s="1675"/>
      <c r="Y675" s="1675"/>
      <c r="Z675" s="1675"/>
      <c r="AA675" s="1675"/>
    </row>
    <row r="676" spans="1:27" ht="13.5" customHeight="1" x14ac:dyDescent="0.3">
      <c r="A676" s="1675"/>
      <c r="B676" s="1675"/>
      <c r="C676" s="1678"/>
      <c r="D676" s="1771"/>
      <c r="E676" s="1771"/>
      <c r="F676" s="1771"/>
      <c r="G676" s="1689"/>
      <c r="H676" s="1674"/>
      <c r="I676" s="1675"/>
      <c r="J676" s="1675"/>
      <c r="K676" s="1675"/>
      <c r="L676" s="1675"/>
      <c r="M676" s="1676"/>
      <c r="N676" s="1676"/>
      <c r="O676" s="1676"/>
      <c r="P676" s="1675"/>
      <c r="Q676" s="1675"/>
      <c r="R676" s="1675"/>
      <c r="S676" s="1675"/>
      <c r="T676" s="1675"/>
      <c r="U676" s="1675"/>
      <c r="V676" s="1675"/>
      <c r="W676" s="1675"/>
      <c r="X676" s="1675"/>
      <c r="Y676" s="1675"/>
      <c r="Z676" s="1675"/>
      <c r="AA676" s="1675"/>
    </row>
    <row r="677" spans="1:27" ht="13.5" customHeight="1" x14ac:dyDescent="0.3">
      <c r="A677" s="1675"/>
      <c r="B677" s="1675"/>
      <c r="C677" s="1678"/>
      <c r="D677" s="1771"/>
      <c r="E677" s="1771"/>
      <c r="F677" s="1771"/>
      <c r="G677" s="1689"/>
      <c r="H677" s="1674"/>
      <c r="I677" s="1675"/>
      <c r="J677" s="1675"/>
      <c r="K677" s="1675"/>
      <c r="L677" s="1675"/>
      <c r="M677" s="1676"/>
      <c r="N677" s="1676"/>
      <c r="O677" s="1676"/>
      <c r="P677" s="1675"/>
      <c r="Q677" s="1675"/>
      <c r="R677" s="1675"/>
      <c r="S677" s="1675"/>
      <c r="T677" s="1675"/>
      <c r="U677" s="1675"/>
      <c r="V677" s="1675"/>
      <c r="W677" s="1675"/>
      <c r="X677" s="1675"/>
      <c r="Y677" s="1675"/>
      <c r="Z677" s="1675"/>
      <c r="AA677" s="1675"/>
    </row>
    <row r="678" spans="1:27" ht="13.5" customHeight="1" x14ac:dyDescent="0.3">
      <c r="A678" s="1675"/>
      <c r="B678" s="1675"/>
      <c r="C678" s="1678"/>
      <c r="D678" s="1771"/>
      <c r="E678" s="1771"/>
      <c r="F678" s="1771"/>
      <c r="G678" s="1689"/>
      <c r="H678" s="1674"/>
      <c r="I678" s="1675"/>
      <c r="J678" s="1675"/>
      <c r="K678" s="1675"/>
      <c r="L678" s="1675"/>
      <c r="M678" s="1676"/>
      <c r="N678" s="1676"/>
      <c r="O678" s="1676"/>
      <c r="P678" s="1675"/>
      <c r="Q678" s="1675"/>
      <c r="R678" s="1675"/>
      <c r="S678" s="1675"/>
      <c r="T678" s="1675"/>
      <c r="U678" s="1675"/>
      <c r="V678" s="1675"/>
      <c r="W678" s="1675"/>
      <c r="X678" s="1675"/>
      <c r="Y678" s="1675"/>
      <c r="Z678" s="1675"/>
      <c r="AA678" s="1675"/>
    </row>
    <row r="679" spans="1:27" ht="13.5" customHeight="1" x14ac:dyDescent="0.3">
      <c r="A679" s="1675"/>
      <c r="B679" s="1675"/>
      <c r="C679" s="1678"/>
      <c r="D679" s="1771"/>
      <c r="E679" s="1771"/>
      <c r="F679" s="1771"/>
      <c r="G679" s="1689"/>
      <c r="H679" s="1674"/>
      <c r="I679" s="1675"/>
      <c r="J679" s="1675"/>
      <c r="K679" s="1675"/>
      <c r="L679" s="1675"/>
      <c r="M679" s="1676"/>
      <c r="N679" s="1676"/>
      <c r="O679" s="1676"/>
      <c r="P679" s="1675"/>
      <c r="Q679" s="1675"/>
      <c r="R679" s="1675"/>
      <c r="S679" s="1675"/>
      <c r="T679" s="1675"/>
      <c r="U679" s="1675"/>
      <c r="V679" s="1675"/>
      <c r="W679" s="1675"/>
      <c r="X679" s="1675"/>
      <c r="Y679" s="1675"/>
      <c r="Z679" s="1675"/>
      <c r="AA679" s="1675"/>
    </row>
    <row r="680" spans="1:27" ht="13.5" customHeight="1" x14ac:dyDescent="0.3">
      <c r="A680" s="1675"/>
      <c r="B680" s="1675"/>
      <c r="C680" s="1678"/>
      <c r="D680" s="1771"/>
      <c r="E680" s="1771"/>
      <c r="F680" s="1771"/>
      <c r="G680" s="1689"/>
      <c r="H680" s="1674"/>
      <c r="I680" s="1675"/>
      <c r="J680" s="1675"/>
      <c r="K680" s="1675"/>
      <c r="L680" s="1675"/>
      <c r="M680" s="1676"/>
      <c r="N680" s="1676"/>
      <c r="O680" s="1676"/>
      <c r="P680" s="1675"/>
      <c r="Q680" s="1675"/>
      <c r="R680" s="1675"/>
      <c r="S680" s="1675"/>
      <c r="T680" s="1675"/>
      <c r="U680" s="1675"/>
      <c r="V680" s="1675"/>
      <c r="W680" s="1675"/>
      <c r="X680" s="1675"/>
      <c r="Y680" s="1675"/>
      <c r="Z680" s="1675"/>
      <c r="AA680" s="1675"/>
    </row>
    <row r="681" spans="1:27" ht="13.5" customHeight="1" x14ac:dyDescent="0.3">
      <c r="A681" s="1675"/>
      <c r="B681" s="1675"/>
      <c r="C681" s="1678"/>
      <c r="D681" s="1771"/>
      <c r="E681" s="1771"/>
      <c r="F681" s="1771"/>
      <c r="G681" s="1689"/>
      <c r="H681" s="1674"/>
      <c r="I681" s="1675"/>
      <c r="J681" s="1675"/>
      <c r="K681" s="1675"/>
      <c r="L681" s="1675"/>
      <c r="M681" s="1676"/>
      <c r="N681" s="1676"/>
      <c r="O681" s="1676"/>
      <c r="P681" s="1675"/>
      <c r="Q681" s="1675"/>
      <c r="R681" s="1675"/>
      <c r="S681" s="1675"/>
      <c r="T681" s="1675"/>
      <c r="U681" s="1675"/>
      <c r="V681" s="1675"/>
      <c r="W681" s="1675"/>
      <c r="X681" s="1675"/>
      <c r="Y681" s="1675"/>
      <c r="Z681" s="1675"/>
      <c r="AA681" s="1675"/>
    </row>
    <row r="682" spans="1:27" ht="13.5" customHeight="1" x14ac:dyDescent="0.3">
      <c r="A682" s="1675"/>
      <c r="B682" s="1675"/>
      <c r="C682" s="1678"/>
      <c r="D682" s="1771"/>
      <c r="E682" s="1771"/>
      <c r="F682" s="1771"/>
      <c r="G682" s="1689"/>
      <c r="H682" s="1674"/>
      <c r="I682" s="1675"/>
      <c r="J682" s="1675"/>
      <c r="K682" s="1675"/>
      <c r="L682" s="1675"/>
      <c r="M682" s="1676"/>
      <c r="N682" s="1676"/>
      <c r="O682" s="1676"/>
      <c r="P682" s="1675"/>
      <c r="Q682" s="1675"/>
      <c r="R682" s="1675"/>
      <c r="S682" s="1675"/>
      <c r="T682" s="1675"/>
      <c r="U682" s="1675"/>
      <c r="V682" s="1675"/>
      <c r="W682" s="1675"/>
      <c r="X682" s="1675"/>
      <c r="Y682" s="1675"/>
      <c r="Z682" s="1675"/>
      <c r="AA682" s="1675"/>
    </row>
    <row r="683" spans="1:27" ht="13.5" customHeight="1" x14ac:dyDescent="0.3">
      <c r="A683" s="1675"/>
      <c r="B683" s="1675"/>
      <c r="C683" s="1678"/>
      <c r="D683" s="1771"/>
      <c r="E683" s="1771"/>
      <c r="F683" s="1771"/>
      <c r="G683" s="1689"/>
      <c r="H683" s="1674"/>
      <c r="I683" s="1675"/>
      <c r="J683" s="1675"/>
      <c r="K683" s="1675"/>
      <c r="L683" s="1675"/>
      <c r="M683" s="1676"/>
      <c r="N683" s="1676"/>
      <c r="O683" s="1676"/>
      <c r="P683" s="1675"/>
      <c r="Q683" s="1675"/>
      <c r="R683" s="1675"/>
      <c r="S683" s="1675"/>
      <c r="T683" s="1675"/>
      <c r="U683" s="1675"/>
      <c r="V683" s="1675"/>
      <c r="W683" s="1675"/>
      <c r="X683" s="1675"/>
      <c r="Y683" s="1675"/>
      <c r="Z683" s="1675"/>
      <c r="AA683" s="1675"/>
    </row>
    <row r="684" spans="1:27" ht="13.5" customHeight="1" x14ac:dyDescent="0.3">
      <c r="A684" s="1675"/>
      <c r="B684" s="1675"/>
      <c r="C684" s="1678"/>
      <c r="D684" s="1771"/>
      <c r="E684" s="1771"/>
      <c r="F684" s="1771"/>
      <c r="G684" s="1689"/>
      <c r="H684" s="1674"/>
      <c r="I684" s="1675"/>
      <c r="J684" s="1675"/>
      <c r="K684" s="1675"/>
      <c r="L684" s="1675"/>
      <c r="M684" s="1676"/>
      <c r="N684" s="1676"/>
      <c r="O684" s="1676"/>
      <c r="P684" s="1675"/>
      <c r="Q684" s="1675"/>
      <c r="R684" s="1675"/>
      <c r="S684" s="1675"/>
      <c r="T684" s="1675"/>
      <c r="U684" s="1675"/>
      <c r="V684" s="1675"/>
      <c r="W684" s="1675"/>
      <c r="X684" s="1675"/>
      <c r="Y684" s="1675"/>
      <c r="Z684" s="1675"/>
      <c r="AA684" s="1675"/>
    </row>
    <row r="685" spans="1:27" ht="13.5" customHeight="1" x14ac:dyDescent="0.3">
      <c r="A685" s="1675"/>
      <c r="B685" s="1675"/>
      <c r="C685" s="1678"/>
      <c r="D685" s="1771"/>
      <c r="E685" s="1771"/>
      <c r="F685" s="1771"/>
      <c r="G685" s="1689"/>
      <c r="H685" s="1674"/>
      <c r="I685" s="1675"/>
      <c r="J685" s="1675"/>
      <c r="K685" s="1675"/>
      <c r="L685" s="1675"/>
      <c r="M685" s="1676"/>
      <c r="N685" s="1676"/>
      <c r="O685" s="1676"/>
      <c r="P685" s="1675"/>
      <c r="Q685" s="1675"/>
      <c r="R685" s="1675"/>
      <c r="S685" s="1675"/>
      <c r="T685" s="1675"/>
      <c r="U685" s="1675"/>
      <c r="V685" s="1675"/>
      <c r="W685" s="1675"/>
      <c r="X685" s="1675"/>
      <c r="Y685" s="1675"/>
      <c r="Z685" s="1675"/>
      <c r="AA685" s="1675"/>
    </row>
    <row r="686" spans="1:27" ht="13.5" customHeight="1" x14ac:dyDescent="0.3">
      <c r="A686" s="1675"/>
      <c r="B686" s="1675"/>
      <c r="C686" s="1678"/>
      <c r="D686" s="1771"/>
      <c r="E686" s="1771"/>
      <c r="F686" s="1771"/>
      <c r="G686" s="1689"/>
      <c r="H686" s="1674"/>
      <c r="I686" s="1675"/>
      <c r="J686" s="1675"/>
      <c r="K686" s="1675"/>
      <c r="L686" s="1675"/>
      <c r="M686" s="1676"/>
      <c r="N686" s="1676"/>
      <c r="O686" s="1676"/>
      <c r="P686" s="1675"/>
      <c r="Q686" s="1675"/>
      <c r="R686" s="1675"/>
      <c r="S686" s="1675"/>
      <c r="T686" s="1675"/>
      <c r="U686" s="1675"/>
      <c r="V686" s="1675"/>
      <c r="W686" s="1675"/>
      <c r="X686" s="1675"/>
      <c r="Y686" s="1675"/>
      <c r="Z686" s="1675"/>
      <c r="AA686" s="1675"/>
    </row>
    <row r="687" spans="1:27" ht="13.5" customHeight="1" x14ac:dyDescent="0.3">
      <c r="A687" s="1675"/>
      <c r="B687" s="1675"/>
      <c r="C687" s="1678"/>
      <c r="D687" s="1771"/>
      <c r="E687" s="1771"/>
      <c r="F687" s="1771"/>
      <c r="G687" s="1689"/>
      <c r="H687" s="1674"/>
      <c r="I687" s="1675"/>
      <c r="J687" s="1675"/>
      <c r="K687" s="1675"/>
      <c r="L687" s="1675"/>
      <c r="M687" s="1676"/>
      <c r="N687" s="1676"/>
      <c r="O687" s="1676"/>
      <c r="P687" s="1675"/>
      <c r="Q687" s="1675"/>
      <c r="R687" s="1675"/>
      <c r="S687" s="1675"/>
      <c r="T687" s="1675"/>
      <c r="U687" s="1675"/>
      <c r="V687" s="1675"/>
      <c r="W687" s="1675"/>
      <c r="X687" s="1675"/>
      <c r="Y687" s="1675"/>
      <c r="Z687" s="1675"/>
      <c r="AA687" s="1675"/>
    </row>
    <row r="688" spans="1:27" ht="13.5" customHeight="1" x14ac:dyDescent="0.3">
      <c r="A688" s="1675"/>
      <c r="B688" s="1675"/>
      <c r="C688" s="1678"/>
      <c r="D688" s="1771"/>
      <c r="E688" s="1771"/>
      <c r="F688" s="1771"/>
      <c r="G688" s="1689"/>
      <c r="H688" s="1674"/>
      <c r="I688" s="1675"/>
      <c r="J688" s="1675"/>
      <c r="K688" s="1675"/>
      <c r="L688" s="1675"/>
      <c r="M688" s="1676"/>
      <c r="N688" s="1676"/>
      <c r="O688" s="1676"/>
      <c r="P688" s="1675"/>
      <c r="Q688" s="1675"/>
      <c r="R688" s="1675"/>
      <c r="S688" s="1675"/>
      <c r="T688" s="1675"/>
      <c r="U688" s="1675"/>
      <c r="V688" s="1675"/>
      <c r="W688" s="1675"/>
      <c r="X688" s="1675"/>
      <c r="Y688" s="1675"/>
      <c r="Z688" s="1675"/>
      <c r="AA688" s="1675"/>
    </row>
    <row r="689" spans="1:27" ht="13.5" customHeight="1" x14ac:dyDescent="0.3">
      <c r="A689" s="1675"/>
      <c r="B689" s="1675"/>
      <c r="C689" s="1678"/>
      <c r="D689" s="1771"/>
      <c r="E689" s="1771"/>
      <c r="F689" s="1771"/>
      <c r="G689" s="1689"/>
      <c r="H689" s="1674"/>
      <c r="I689" s="1675"/>
      <c r="J689" s="1675"/>
      <c r="K689" s="1675"/>
      <c r="L689" s="1675"/>
      <c r="M689" s="1676"/>
      <c r="N689" s="1676"/>
      <c r="O689" s="1676"/>
      <c r="P689" s="1675"/>
      <c r="Q689" s="1675"/>
      <c r="R689" s="1675"/>
      <c r="S689" s="1675"/>
      <c r="T689" s="1675"/>
      <c r="U689" s="1675"/>
      <c r="V689" s="1675"/>
      <c r="W689" s="1675"/>
      <c r="X689" s="1675"/>
      <c r="Y689" s="1675"/>
      <c r="Z689" s="1675"/>
      <c r="AA689" s="1675"/>
    </row>
    <row r="690" spans="1:27" ht="13.5" customHeight="1" x14ac:dyDescent="0.3">
      <c r="A690" s="1675"/>
      <c r="B690" s="1675"/>
      <c r="C690" s="1678"/>
      <c r="D690" s="1771"/>
      <c r="E690" s="1771"/>
      <c r="F690" s="1771"/>
      <c r="G690" s="1689"/>
      <c r="H690" s="1674"/>
      <c r="I690" s="1675"/>
      <c r="J690" s="1675"/>
      <c r="K690" s="1675"/>
      <c r="L690" s="1675"/>
      <c r="M690" s="1676"/>
      <c r="N690" s="1676"/>
      <c r="O690" s="1676"/>
      <c r="P690" s="1675"/>
      <c r="Q690" s="1675"/>
      <c r="R690" s="1675"/>
      <c r="S690" s="1675"/>
      <c r="T690" s="1675"/>
      <c r="U690" s="1675"/>
      <c r="V690" s="1675"/>
      <c r="W690" s="1675"/>
      <c r="X690" s="1675"/>
      <c r="Y690" s="1675"/>
      <c r="Z690" s="1675"/>
      <c r="AA690" s="1675"/>
    </row>
    <row r="691" spans="1:27" ht="13.5" customHeight="1" x14ac:dyDescent="0.3">
      <c r="A691" s="1675"/>
      <c r="B691" s="1675"/>
      <c r="C691" s="1678"/>
      <c r="D691" s="1771"/>
      <c r="E691" s="1771"/>
      <c r="F691" s="1771"/>
      <c r="G691" s="1689"/>
      <c r="H691" s="1674"/>
      <c r="I691" s="1675"/>
      <c r="J691" s="1675"/>
      <c r="K691" s="1675"/>
      <c r="L691" s="1675"/>
      <c r="M691" s="1676"/>
      <c r="N691" s="1676"/>
      <c r="O691" s="1676"/>
      <c r="P691" s="1675"/>
      <c r="Q691" s="1675"/>
      <c r="R691" s="1675"/>
      <c r="S691" s="1675"/>
      <c r="T691" s="1675"/>
      <c r="U691" s="1675"/>
      <c r="V691" s="1675"/>
      <c r="W691" s="1675"/>
      <c r="X691" s="1675"/>
      <c r="Y691" s="1675"/>
      <c r="Z691" s="1675"/>
      <c r="AA691" s="1675"/>
    </row>
    <row r="692" spans="1:27" ht="13.5" customHeight="1" x14ac:dyDescent="0.3">
      <c r="A692" s="1675"/>
      <c r="B692" s="1675"/>
      <c r="C692" s="1678"/>
      <c r="D692" s="1771"/>
      <c r="E692" s="1771"/>
      <c r="F692" s="1771"/>
      <c r="G692" s="1689"/>
      <c r="H692" s="1674"/>
      <c r="I692" s="1675"/>
      <c r="J692" s="1675"/>
      <c r="K692" s="1675"/>
      <c r="L692" s="1675"/>
      <c r="M692" s="1676"/>
      <c r="N692" s="1676"/>
      <c r="O692" s="1676"/>
      <c r="P692" s="1675"/>
      <c r="Q692" s="1675"/>
      <c r="R692" s="1675"/>
      <c r="S692" s="1675"/>
      <c r="T692" s="1675"/>
      <c r="U692" s="1675"/>
      <c r="V692" s="1675"/>
      <c r="W692" s="1675"/>
      <c r="X692" s="1675"/>
      <c r="Y692" s="1675"/>
      <c r="Z692" s="1675"/>
      <c r="AA692" s="1675"/>
    </row>
    <row r="693" spans="1:27" ht="13.5" customHeight="1" x14ac:dyDescent="0.3">
      <c r="A693" s="1675"/>
      <c r="B693" s="1675"/>
      <c r="C693" s="1678"/>
      <c r="D693" s="1771"/>
      <c r="E693" s="1771"/>
      <c r="F693" s="1771"/>
      <c r="G693" s="1689"/>
      <c r="H693" s="1674"/>
      <c r="I693" s="1675"/>
      <c r="J693" s="1675"/>
      <c r="K693" s="1675"/>
      <c r="L693" s="1675"/>
      <c r="M693" s="1676"/>
      <c r="N693" s="1676"/>
      <c r="O693" s="1676"/>
      <c r="P693" s="1675"/>
      <c r="Q693" s="1675"/>
      <c r="R693" s="1675"/>
      <c r="S693" s="1675"/>
      <c r="T693" s="1675"/>
      <c r="U693" s="1675"/>
      <c r="V693" s="1675"/>
      <c r="W693" s="1675"/>
      <c r="X693" s="1675"/>
      <c r="Y693" s="1675"/>
      <c r="Z693" s="1675"/>
      <c r="AA693" s="1675"/>
    </row>
    <row r="694" spans="1:27" ht="13.5" customHeight="1" x14ac:dyDescent="0.3">
      <c r="A694" s="1675"/>
      <c r="B694" s="1675"/>
      <c r="C694" s="1678"/>
      <c r="D694" s="1771"/>
      <c r="E694" s="1771"/>
      <c r="F694" s="1771"/>
      <c r="G694" s="1689"/>
      <c r="H694" s="1674"/>
      <c r="I694" s="1675"/>
      <c r="J694" s="1675"/>
      <c r="K694" s="1675"/>
      <c r="L694" s="1675"/>
      <c r="M694" s="1676"/>
      <c r="N694" s="1676"/>
      <c r="O694" s="1676"/>
      <c r="P694" s="1675"/>
      <c r="Q694" s="1675"/>
      <c r="R694" s="1675"/>
      <c r="S694" s="1675"/>
      <c r="T694" s="1675"/>
      <c r="U694" s="1675"/>
      <c r="V694" s="1675"/>
      <c r="W694" s="1675"/>
      <c r="X694" s="1675"/>
      <c r="Y694" s="1675"/>
      <c r="Z694" s="1675"/>
      <c r="AA694" s="1675"/>
    </row>
    <row r="695" spans="1:27" ht="13.5" customHeight="1" x14ac:dyDescent="0.3">
      <c r="A695" s="1675"/>
      <c r="B695" s="1675"/>
      <c r="C695" s="1678"/>
      <c r="D695" s="1771"/>
      <c r="E695" s="1771"/>
      <c r="F695" s="1771"/>
      <c r="G695" s="1689"/>
      <c r="H695" s="1674"/>
      <c r="I695" s="1675"/>
      <c r="J695" s="1675"/>
      <c r="K695" s="1675"/>
      <c r="L695" s="1675"/>
      <c r="M695" s="1676"/>
      <c r="N695" s="1676"/>
      <c r="O695" s="1676"/>
      <c r="P695" s="1675"/>
      <c r="Q695" s="1675"/>
      <c r="R695" s="1675"/>
      <c r="S695" s="1675"/>
      <c r="T695" s="1675"/>
      <c r="U695" s="1675"/>
      <c r="V695" s="1675"/>
      <c r="W695" s="1675"/>
      <c r="X695" s="1675"/>
      <c r="Y695" s="1675"/>
      <c r="Z695" s="1675"/>
      <c r="AA695" s="1675"/>
    </row>
    <row r="696" spans="1:27" ht="13.5" customHeight="1" x14ac:dyDescent="0.3">
      <c r="A696" s="1675"/>
      <c r="B696" s="1675"/>
      <c r="C696" s="1678"/>
      <c r="D696" s="1771"/>
      <c r="E696" s="1771"/>
      <c r="F696" s="1771"/>
      <c r="G696" s="1689"/>
      <c r="H696" s="1674"/>
      <c r="I696" s="1675"/>
      <c r="J696" s="1675"/>
      <c r="K696" s="1675"/>
      <c r="L696" s="1675"/>
      <c r="M696" s="1676"/>
      <c r="N696" s="1676"/>
      <c r="O696" s="1676"/>
      <c r="P696" s="1675"/>
      <c r="Q696" s="1675"/>
      <c r="R696" s="1675"/>
      <c r="S696" s="1675"/>
      <c r="T696" s="1675"/>
      <c r="U696" s="1675"/>
      <c r="V696" s="1675"/>
      <c r="W696" s="1675"/>
      <c r="X696" s="1675"/>
      <c r="Y696" s="1675"/>
      <c r="Z696" s="1675"/>
      <c r="AA696" s="1675"/>
    </row>
    <row r="697" spans="1:27" ht="13.5" customHeight="1" x14ac:dyDescent="0.3">
      <c r="A697" s="1675"/>
      <c r="B697" s="1675"/>
      <c r="C697" s="1678"/>
      <c r="D697" s="1771"/>
      <c r="E697" s="1771"/>
      <c r="F697" s="1771"/>
      <c r="G697" s="1689"/>
      <c r="H697" s="1674"/>
      <c r="I697" s="1675"/>
      <c r="J697" s="1675"/>
      <c r="K697" s="1675"/>
      <c r="L697" s="1675"/>
      <c r="M697" s="1676"/>
      <c r="N697" s="1676"/>
      <c r="O697" s="1676"/>
      <c r="P697" s="1675"/>
      <c r="Q697" s="1675"/>
      <c r="R697" s="1675"/>
      <c r="S697" s="1675"/>
      <c r="T697" s="1675"/>
      <c r="U697" s="1675"/>
      <c r="V697" s="1675"/>
      <c r="W697" s="1675"/>
      <c r="X697" s="1675"/>
      <c r="Y697" s="1675"/>
      <c r="Z697" s="1675"/>
      <c r="AA697" s="1675"/>
    </row>
    <row r="698" spans="1:27" ht="13.5" customHeight="1" x14ac:dyDescent="0.3">
      <c r="A698" s="1675"/>
      <c r="B698" s="1675"/>
      <c r="C698" s="1678"/>
      <c r="D698" s="1771"/>
      <c r="E698" s="1771"/>
      <c r="F698" s="1771"/>
      <c r="G698" s="1689"/>
      <c r="H698" s="1674"/>
      <c r="I698" s="1675"/>
      <c r="J698" s="1675"/>
      <c r="K698" s="1675"/>
      <c r="L698" s="1675"/>
      <c r="M698" s="1676"/>
      <c r="N698" s="1676"/>
      <c r="O698" s="1676"/>
      <c r="P698" s="1675"/>
      <c r="Q698" s="1675"/>
      <c r="R698" s="1675"/>
      <c r="S698" s="1675"/>
      <c r="T698" s="1675"/>
      <c r="U698" s="1675"/>
      <c r="V698" s="1675"/>
      <c r="W698" s="1675"/>
      <c r="X698" s="1675"/>
      <c r="Y698" s="1675"/>
      <c r="Z698" s="1675"/>
      <c r="AA698" s="1675"/>
    </row>
    <row r="699" spans="1:27" ht="13.5" customHeight="1" x14ac:dyDescent="0.3">
      <c r="A699" s="1675"/>
      <c r="B699" s="1675"/>
      <c r="C699" s="1678"/>
      <c r="D699" s="1771"/>
      <c r="E699" s="1771"/>
      <c r="F699" s="1771"/>
      <c r="G699" s="1689"/>
      <c r="H699" s="1674"/>
      <c r="I699" s="1675"/>
      <c r="J699" s="1675"/>
      <c r="K699" s="1675"/>
      <c r="L699" s="1675"/>
      <c r="M699" s="1676"/>
      <c r="N699" s="1676"/>
      <c r="O699" s="1676"/>
      <c r="P699" s="1675"/>
      <c r="Q699" s="1675"/>
      <c r="R699" s="1675"/>
      <c r="S699" s="1675"/>
      <c r="T699" s="1675"/>
      <c r="U699" s="1675"/>
      <c r="V699" s="1675"/>
      <c r="W699" s="1675"/>
      <c r="X699" s="1675"/>
      <c r="Y699" s="1675"/>
      <c r="Z699" s="1675"/>
      <c r="AA699" s="1675"/>
    </row>
    <row r="700" spans="1:27" ht="13.5" customHeight="1" x14ac:dyDescent="0.3">
      <c r="A700" s="1675"/>
      <c r="B700" s="1675"/>
      <c r="C700" s="1678"/>
      <c r="D700" s="1771"/>
      <c r="E700" s="1771"/>
      <c r="F700" s="1771"/>
      <c r="G700" s="1689"/>
      <c r="H700" s="1674"/>
      <c r="I700" s="1675"/>
      <c r="J700" s="1675"/>
      <c r="K700" s="1675"/>
      <c r="L700" s="1675"/>
      <c r="M700" s="1676"/>
      <c r="N700" s="1676"/>
      <c r="O700" s="1676"/>
      <c r="P700" s="1675"/>
      <c r="Q700" s="1675"/>
      <c r="R700" s="1675"/>
      <c r="S700" s="1675"/>
      <c r="T700" s="1675"/>
      <c r="U700" s="1675"/>
      <c r="V700" s="1675"/>
      <c r="W700" s="1675"/>
      <c r="X700" s="1675"/>
      <c r="Y700" s="1675"/>
      <c r="Z700" s="1675"/>
      <c r="AA700" s="1675"/>
    </row>
    <row r="701" spans="1:27" ht="13.5" customHeight="1" x14ac:dyDescent="0.3">
      <c r="A701" s="1675"/>
      <c r="B701" s="1675"/>
      <c r="C701" s="1678"/>
      <c r="D701" s="1771"/>
      <c r="E701" s="1771"/>
      <c r="F701" s="1771"/>
      <c r="G701" s="1689"/>
      <c r="H701" s="1674"/>
      <c r="I701" s="1675"/>
      <c r="J701" s="1675"/>
      <c r="K701" s="1675"/>
      <c r="L701" s="1675"/>
      <c r="M701" s="1676"/>
      <c r="N701" s="1676"/>
      <c r="O701" s="1676"/>
      <c r="P701" s="1675"/>
      <c r="Q701" s="1675"/>
      <c r="R701" s="1675"/>
      <c r="S701" s="1675"/>
      <c r="T701" s="1675"/>
      <c r="U701" s="1675"/>
      <c r="V701" s="1675"/>
      <c r="W701" s="1675"/>
      <c r="X701" s="1675"/>
      <c r="Y701" s="1675"/>
      <c r="Z701" s="1675"/>
      <c r="AA701" s="1675"/>
    </row>
    <row r="702" spans="1:27" ht="13.5" customHeight="1" x14ac:dyDescent="0.3">
      <c r="A702" s="1675"/>
      <c r="B702" s="1675"/>
      <c r="C702" s="1678"/>
      <c r="D702" s="1771"/>
      <c r="E702" s="1771"/>
      <c r="F702" s="1771"/>
      <c r="G702" s="1689"/>
      <c r="H702" s="1674"/>
      <c r="I702" s="1675"/>
      <c r="J702" s="1675"/>
      <c r="K702" s="1675"/>
      <c r="L702" s="1675"/>
      <c r="M702" s="1676"/>
      <c r="N702" s="1676"/>
      <c r="O702" s="1676"/>
      <c r="P702" s="1675"/>
      <c r="Q702" s="1675"/>
      <c r="R702" s="1675"/>
      <c r="S702" s="1675"/>
      <c r="T702" s="1675"/>
      <c r="U702" s="1675"/>
      <c r="V702" s="1675"/>
      <c r="W702" s="1675"/>
      <c r="X702" s="1675"/>
      <c r="Y702" s="1675"/>
      <c r="Z702" s="1675"/>
      <c r="AA702" s="1675"/>
    </row>
    <row r="703" spans="1:27" ht="13.5" customHeight="1" x14ac:dyDescent="0.3">
      <c r="A703" s="1675"/>
      <c r="B703" s="1675"/>
      <c r="C703" s="1678"/>
      <c r="D703" s="1771"/>
      <c r="E703" s="1771"/>
      <c r="F703" s="1771"/>
      <c r="G703" s="1689"/>
      <c r="H703" s="1674"/>
      <c r="I703" s="1675"/>
      <c r="J703" s="1675"/>
      <c r="K703" s="1675"/>
      <c r="L703" s="1675"/>
      <c r="M703" s="1676"/>
      <c r="N703" s="1676"/>
      <c r="O703" s="1676"/>
      <c r="P703" s="1675"/>
      <c r="Q703" s="1675"/>
      <c r="R703" s="1675"/>
      <c r="S703" s="1675"/>
      <c r="T703" s="1675"/>
      <c r="U703" s="1675"/>
      <c r="V703" s="1675"/>
      <c r="W703" s="1675"/>
      <c r="X703" s="1675"/>
      <c r="Y703" s="1675"/>
      <c r="Z703" s="1675"/>
      <c r="AA703" s="1675"/>
    </row>
    <row r="704" spans="1:27" ht="13.5" customHeight="1" x14ac:dyDescent="0.3">
      <c r="A704" s="1675"/>
      <c r="B704" s="1675"/>
      <c r="C704" s="1678"/>
      <c r="D704" s="1771"/>
      <c r="E704" s="1771"/>
      <c r="F704" s="1771"/>
      <c r="G704" s="1689"/>
      <c r="H704" s="1674"/>
      <c r="I704" s="1675"/>
      <c r="J704" s="1675"/>
      <c r="K704" s="1675"/>
      <c r="L704" s="1675"/>
      <c r="M704" s="1676"/>
      <c r="N704" s="1676"/>
      <c r="O704" s="1676"/>
      <c r="P704" s="1675"/>
      <c r="Q704" s="1675"/>
      <c r="R704" s="1675"/>
      <c r="S704" s="1675"/>
      <c r="T704" s="1675"/>
      <c r="U704" s="1675"/>
      <c r="V704" s="1675"/>
      <c r="W704" s="1675"/>
      <c r="X704" s="1675"/>
      <c r="Y704" s="1675"/>
      <c r="Z704" s="1675"/>
      <c r="AA704" s="1675"/>
    </row>
    <row r="705" spans="1:27" ht="13.5" customHeight="1" x14ac:dyDescent="0.3">
      <c r="A705" s="1675"/>
      <c r="B705" s="1675"/>
      <c r="C705" s="1678"/>
      <c r="D705" s="1771"/>
      <c r="E705" s="1771"/>
      <c r="F705" s="1771"/>
      <c r="G705" s="1689"/>
      <c r="H705" s="1674"/>
      <c r="I705" s="1675"/>
      <c r="J705" s="1675"/>
      <c r="K705" s="1675"/>
      <c r="L705" s="1675"/>
      <c r="M705" s="1676"/>
      <c r="N705" s="1676"/>
      <c r="O705" s="1676"/>
      <c r="P705" s="1675"/>
      <c r="Q705" s="1675"/>
      <c r="R705" s="1675"/>
      <c r="S705" s="1675"/>
      <c r="T705" s="1675"/>
      <c r="U705" s="1675"/>
      <c r="V705" s="1675"/>
      <c r="W705" s="1675"/>
      <c r="X705" s="1675"/>
      <c r="Y705" s="1675"/>
      <c r="Z705" s="1675"/>
      <c r="AA705" s="1675"/>
    </row>
    <row r="706" spans="1:27" ht="13.5" customHeight="1" x14ac:dyDescent="0.3">
      <c r="A706" s="1675"/>
      <c r="B706" s="1675"/>
      <c r="C706" s="1678"/>
      <c r="D706" s="1771"/>
      <c r="E706" s="1771"/>
      <c r="F706" s="1771"/>
      <c r="G706" s="1689"/>
      <c r="H706" s="1674"/>
      <c r="I706" s="1675"/>
      <c r="J706" s="1675"/>
      <c r="K706" s="1675"/>
      <c r="L706" s="1675"/>
      <c r="M706" s="1676"/>
      <c r="N706" s="1676"/>
      <c r="O706" s="1676"/>
      <c r="P706" s="1675"/>
      <c r="Q706" s="1675"/>
      <c r="R706" s="1675"/>
      <c r="S706" s="1675"/>
      <c r="T706" s="1675"/>
      <c r="U706" s="1675"/>
      <c r="V706" s="1675"/>
      <c r="W706" s="1675"/>
      <c r="X706" s="1675"/>
      <c r="Y706" s="1675"/>
      <c r="Z706" s="1675"/>
      <c r="AA706" s="1675"/>
    </row>
    <row r="707" spans="1:27" ht="13.5" customHeight="1" x14ac:dyDescent="0.3">
      <c r="A707" s="1675"/>
      <c r="B707" s="1675"/>
      <c r="C707" s="1678"/>
      <c r="D707" s="1771"/>
      <c r="E707" s="1771"/>
      <c r="F707" s="1771"/>
      <c r="G707" s="1689"/>
      <c r="H707" s="1674"/>
      <c r="I707" s="1675"/>
      <c r="J707" s="1675"/>
      <c r="K707" s="1675"/>
      <c r="L707" s="1675"/>
      <c r="M707" s="1676"/>
      <c r="N707" s="1676"/>
      <c r="O707" s="1676"/>
      <c r="P707" s="1675"/>
      <c r="Q707" s="1675"/>
      <c r="R707" s="1675"/>
      <c r="S707" s="1675"/>
      <c r="T707" s="1675"/>
      <c r="U707" s="1675"/>
      <c r="V707" s="1675"/>
      <c r="W707" s="1675"/>
      <c r="X707" s="1675"/>
      <c r="Y707" s="1675"/>
      <c r="Z707" s="1675"/>
      <c r="AA707" s="1675"/>
    </row>
    <row r="708" spans="1:27" ht="13.5" customHeight="1" x14ac:dyDescent="0.3">
      <c r="A708" s="1675"/>
      <c r="B708" s="1675"/>
      <c r="C708" s="1678"/>
      <c r="D708" s="1771"/>
      <c r="E708" s="1771"/>
      <c r="F708" s="1771"/>
      <c r="G708" s="1689"/>
      <c r="H708" s="1674"/>
      <c r="I708" s="1675"/>
      <c r="J708" s="1675"/>
      <c r="K708" s="1675"/>
      <c r="L708" s="1675"/>
      <c r="M708" s="1676"/>
      <c r="N708" s="1676"/>
      <c r="O708" s="1676"/>
      <c r="P708" s="1675"/>
      <c r="Q708" s="1675"/>
      <c r="R708" s="1675"/>
      <c r="S708" s="1675"/>
      <c r="T708" s="1675"/>
      <c r="U708" s="1675"/>
      <c r="V708" s="1675"/>
      <c r="W708" s="1675"/>
      <c r="X708" s="1675"/>
      <c r="Y708" s="1675"/>
      <c r="Z708" s="1675"/>
      <c r="AA708" s="1675"/>
    </row>
    <row r="709" spans="1:27" ht="13.5" customHeight="1" x14ac:dyDescent="0.3">
      <c r="A709" s="1675"/>
      <c r="B709" s="1675"/>
      <c r="C709" s="1678"/>
      <c r="D709" s="1771"/>
      <c r="E709" s="1771"/>
      <c r="F709" s="1771"/>
      <c r="G709" s="1689"/>
      <c r="H709" s="1674"/>
      <c r="I709" s="1675"/>
      <c r="J709" s="1675"/>
      <c r="K709" s="1675"/>
      <c r="L709" s="1675"/>
      <c r="M709" s="1676"/>
      <c r="N709" s="1676"/>
      <c r="O709" s="1676"/>
      <c r="P709" s="1675"/>
      <c r="Q709" s="1675"/>
      <c r="R709" s="1675"/>
      <c r="S709" s="1675"/>
      <c r="T709" s="1675"/>
      <c r="U709" s="1675"/>
      <c r="V709" s="1675"/>
      <c r="W709" s="1675"/>
      <c r="X709" s="1675"/>
      <c r="Y709" s="1675"/>
      <c r="Z709" s="1675"/>
      <c r="AA709" s="1675"/>
    </row>
    <row r="710" spans="1:27" ht="13.5" customHeight="1" x14ac:dyDescent="0.3">
      <c r="A710" s="1675"/>
      <c r="B710" s="1675"/>
      <c r="C710" s="1678"/>
      <c r="D710" s="1771"/>
      <c r="E710" s="1771"/>
      <c r="F710" s="1771"/>
      <c r="G710" s="1689"/>
      <c r="H710" s="1674"/>
      <c r="I710" s="1675"/>
      <c r="J710" s="1675"/>
      <c r="K710" s="1675"/>
      <c r="L710" s="1675"/>
      <c r="M710" s="1676"/>
      <c r="N710" s="1676"/>
      <c r="O710" s="1676"/>
      <c r="P710" s="1675"/>
      <c r="Q710" s="1675"/>
      <c r="R710" s="1675"/>
      <c r="S710" s="1675"/>
      <c r="T710" s="1675"/>
      <c r="U710" s="1675"/>
      <c r="V710" s="1675"/>
      <c r="W710" s="1675"/>
      <c r="X710" s="1675"/>
      <c r="Y710" s="1675"/>
      <c r="Z710" s="1675"/>
      <c r="AA710" s="1675"/>
    </row>
    <row r="711" spans="1:27" ht="13.5" customHeight="1" x14ac:dyDescent="0.3">
      <c r="A711" s="1675"/>
      <c r="B711" s="1675"/>
      <c r="C711" s="1678"/>
      <c r="D711" s="1771"/>
      <c r="E711" s="1771"/>
      <c r="F711" s="1771"/>
      <c r="G711" s="1689"/>
      <c r="H711" s="1674"/>
      <c r="I711" s="1675"/>
      <c r="J711" s="1675"/>
      <c r="K711" s="1675"/>
      <c r="L711" s="1675"/>
      <c r="M711" s="1676"/>
      <c r="N711" s="1676"/>
      <c r="O711" s="1676"/>
      <c r="P711" s="1675"/>
      <c r="Q711" s="1675"/>
      <c r="R711" s="1675"/>
      <c r="S711" s="1675"/>
      <c r="T711" s="1675"/>
      <c r="U711" s="1675"/>
      <c r="V711" s="1675"/>
      <c r="W711" s="1675"/>
      <c r="X711" s="1675"/>
      <c r="Y711" s="1675"/>
      <c r="Z711" s="1675"/>
      <c r="AA711" s="1675"/>
    </row>
    <row r="712" spans="1:27" ht="13.5" customHeight="1" x14ac:dyDescent="0.3">
      <c r="A712" s="1675"/>
      <c r="B712" s="1675"/>
      <c r="C712" s="1678"/>
      <c r="D712" s="1771"/>
      <c r="E712" s="1771"/>
      <c r="F712" s="1771"/>
      <c r="G712" s="1689"/>
      <c r="H712" s="1674"/>
      <c r="I712" s="1675"/>
      <c r="J712" s="1675"/>
      <c r="K712" s="1675"/>
      <c r="L712" s="1675"/>
      <c r="M712" s="1676"/>
      <c r="N712" s="1676"/>
      <c r="O712" s="1676"/>
      <c r="P712" s="1675"/>
      <c r="Q712" s="1675"/>
      <c r="R712" s="1675"/>
      <c r="S712" s="1675"/>
      <c r="T712" s="1675"/>
      <c r="U712" s="1675"/>
      <c r="V712" s="1675"/>
      <c r="W712" s="1675"/>
      <c r="X712" s="1675"/>
      <c r="Y712" s="1675"/>
      <c r="Z712" s="1675"/>
      <c r="AA712" s="1675"/>
    </row>
    <row r="713" spans="1:27" ht="13.5" customHeight="1" x14ac:dyDescent="0.3">
      <c r="A713" s="1675"/>
      <c r="B713" s="1675"/>
      <c r="C713" s="1678"/>
      <c r="D713" s="1771"/>
      <c r="E713" s="1771"/>
      <c r="F713" s="1771"/>
      <c r="G713" s="1689"/>
      <c r="H713" s="1674"/>
      <c r="I713" s="1675"/>
      <c r="J713" s="1675"/>
      <c r="K713" s="1675"/>
      <c r="L713" s="1675"/>
      <c r="M713" s="1676"/>
      <c r="N713" s="1676"/>
      <c r="O713" s="1676"/>
      <c r="P713" s="1675"/>
      <c r="Q713" s="1675"/>
      <c r="R713" s="1675"/>
      <c r="S713" s="1675"/>
      <c r="T713" s="1675"/>
      <c r="U713" s="1675"/>
      <c r="V713" s="1675"/>
      <c r="W713" s="1675"/>
      <c r="X713" s="1675"/>
      <c r="Y713" s="1675"/>
      <c r="Z713" s="1675"/>
      <c r="AA713" s="1675"/>
    </row>
    <row r="714" spans="1:27" ht="13.5" customHeight="1" x14ac:dyDescent="0.3">
      <c r="A714" s="1675"/>
      <c r="B714" s="1675"/>
      <c r="C714" s="1678"/>
      <c r="D714" s="1771"/>
      <c r="E714" s="1771"/>
      <c r="F714" s="1771"/>
      <c r="G714" s="1689"/>
      <c r="H714" s="1674"/>
      <c r="I714" s="1675"/>
      <c r="J714" s="1675"/>
      <c r="K714" s="1675"/>
      <c r="L714" s="1675"/>
      <c r="M714" s="1676"/>
      <c r="N714" s="1676"/>
      <c r="O714" s="1676"/>
      <c r="P714" s="1675"/>
      <c r="Q714" s="1675"/>
      <c r="R714" s="1675"/>
      <c r="S714" s="1675"/>
      <c r="T714" s="1675"/>
      <c r="U714" s="1675"/>
      <c r="V714" s="1675"/>
      <c r="W714" s="1675"/>
      <c r="X714" s="1675"/>
      <c r="Y714" s="1675"/>
      <c r="Z714" s="1675"/>
      <c r="AA714" s="1675"/>
    </row>
    <row r="715" spans="1:27" ht="13.5" customHeight="1" x14ac:dyDescent="0.3">
      <c r="A715" s="1675"/>
      <c r="B715" s="1675"/>
      <c r="C715" s="1678"/>
      <c r="D715" s="1771"/>
      <c r="E715" s="1771"/>
      <c r="F715" s="1771"/>
      <c r="G715" s="1689"/>
      <c r="H715" s="1674"/>
      <c r="I715" s="1675"/>
      <c r="J715" s="1675"/>
      <c r="K715" s="1675"/>
      <c r="L715" s="1675"/>
      <c r="M715" s="1676"/>
      <c r="N715" s="1676"/>
      <c r="O715" s="1676"/>
      <c r="P715" s="1675"/>
      <c r="Q715" s="1675"/>
      <c r="R715" s="1675"/>
      <c r="S715" s="1675"/>
      <c r="T715" s="1675"/>
      <c r="U715" s="1675"/>
      <c r="V715" s="1675"/>
      <c r="W715" s="1675"/>
      <c r="X715" s="1675"/>
      <c r="Y715" s="1675"/>
      <c r="Z715" s="1675"/>
      <c r="AA715" s="1675"/>
    </row>
    <row r="716" spans="1:27" ht="13.5" customHeight="1" x14ac:dyDescent="0.3">
      <c r="A716" s="1675"/>
      <c r="B716" s="1675"/>
      <c r="C716" s="1678"/>
      <c r="D716" s="1771"/>
      <c r="E716" s="1771"/>
      <c r="F716" s="1771"/>
      <c r="G716" s="1689"/>
      <c r="H716" s="1674"/>
      <c r="I716" s="1675"/>
      <c r="J716" s="1675"/>
      <c r="K716" s="1675"/>
      <c r="L716" s="1675"/>
      <c r="M716" s="1676"/>
      <c r="N716" s="1676"/>
      <c r="O716" s="1676"/>
      <c r="P716" s="1675"/>
      <c r="Q716" s="1675"/>
      <c r="R716" s="1675"/>
      <c r="S716" s="1675"/>
      <c r="T716" s="1675"/>
      <c r="U716" s="1675"/>
      <c r="V716" s="1675"/>
      <c r="W716" s="1675"/>
      <c r="X716" s="1675"/>
      <c r="Y716" s="1675"/>
      <c r="Z716" s="1675"/>
      <c r="AA716" s="1675"/>
    </row>
    <row r="717" spans="1:27" ht="13.5" customHeight="1" x14ac:dyDescent="0.3">
      <c r="A717" s="1675"/>
      <c r="B717" s="1675"/>
      <c r="C717" s="1678"/>
      <c r="D717" s="1771"/>
      <c r="E717" s="1771"/>
      <c r="F717" s="1771"/>
      <c r="G717" s="1689"/>
      <c r="H717" s="1674"/>
      <c r="I717" s="1675"/>
      <c r="J717" s="1675"/>
      <c r="K717" s="1675"/>
      <c r="L717" s="1675"/>
      <c r="M717" s="1676"/>
      <c r="N717" s="1676"/>
      <c r="O717" s="1676"/>
      <c r="P717" s="1675"/>
      <c r="Q717" s="1675"/>
      <c r="R717" s="1675"/>
      <c r="S717" s="1675"/>
      <c r="T717" s="1675"/>
      <c r="U717" s="1675"/>
      <c r="V717" s="1675"/>
      <c r="W717" s="1675"/>
      <c r="X717" s="1675"/>
      <c r="Y717" s="1675"/>
      <c r="Z717" s="1675"/>
      <c r="AA717" s="1675"/>
    </row>
    <row r="718" spans="1:27" ht="13.5" customHeight="1" x14ac:dyDescent="0.3">
      <c r="A718" s="1675"/>
      <c r="B718" s="1675"/>
      <c r="C718" s="1678"/>
      <c r="D718" s="1771"/>
      <c r="E718" s="1771"/>
      <c r="F718" s="1771"/>
      <c r="G718" s="1689"/>
      <c r="H718" s="1674"/>
      <c r="I718" s="1675"/>
      <c r="J718" s="1675"/>
      <c r="K718" s="1675"/>
      <c r="L718" s="1675"/>
      <c r="M718" s="1676"/>
      <c r="N718" s="1676"/>
      <c r="O718" s="1676"/>
      <c r="P718" s="1675"/>
      <c r="Q718" s="1675"/>
      <c r="R718" s="1675"/>
      <c r="S718" s="1675"/>
      <c r="T718" s="1675"/>
      <c r="U718" s="1675"/>
      <c r="V718" s="1675"/>
      <c r="W718" s="1675"/>
      <c r="X718" s="1675"/>
      <c r="Y718" s="1675"/>
      <c r="Z718" s="1675"/>
      <c r="AA718" s="1675"/>
    </row>
    <row r="719" spans="1:27" ht="13.5" customHeight="1" x14ac:dyDescent="0.3">
      <c r="A719" s="1675"/>
      <c r="B719" s="1675"/>
      <c r="C719" s="1678"/>
      <c r="D719" s="1771"/>
      <c r="E719" s="1771"/>
      <c r="F719" s="1771"/>
      <c r="G719" s="1689"/>
      <c r="H719" s="1674"/>
      <c r="I719" s="1675"/>
      <c r="J719" s="1675"/>
      <c r="K719" s="1675"/>
      <c r="L719" s="1675"/>
      <c r="M719" s="1676"/>
      <c r="N719" s="1676"/>
      <c r="O719" s="1676"/>
      <c r="P719" s="1675"/>
      <c r="Q719" s="1675"/>
      <c r="R719" s="1675"/>
      <c r="S719" s="1675"/>
      <c r="T719" s="1675"/>
      <c r="U719" s="1675"/>
      <c r="V719" s="1675"/>
      <c r="W719" s="1675"/>
      <c r="X719" s="1675"/>
      <c r="Y719" s="1675"/>
      <c r="Z719" s="1675"/>
      <c r="AA719" s="1675"/>
    </row>
    <row r="720" spans="1:27" ht="13.5" customHeight="1" x14ac:dyDescent="0.3">
      <c r="A720" s="1675"/>
      <c r="B720" s="1675"/>
      <c r="C720" s="1678"/>
      <c r="D720" s="1771"/>
      <c r="E720" s="1771"/>
      <c r="F720" s="1771"/>
      <c r="G720" s="1689"/>
      <c r="H720" s="1674"/>
      <c r="I720" s="1675"/>
      <c r="J720" s="1675"/>
      <c r="K720" s="1675"/>
      <c r="L720" s="1675"/>
      <c r="M720" s="1676"/>
      <c r="N720" s="1676"/>
      <c r="O720" s="1676"/>
      <c r="P720" s="1675"/>
      <c r="Q720" s="1675"/>
      <c r="R720" s="1675"/>
      <c r="S720" s="1675"/>
      <c r="T720" s="1675"/>
      <c r="U720" s="1675"/>
      <c r="V720" s="1675"/>
      <c r="W720" s="1675"/>
      <c r="X720" s="1675"/>
      <c r="Y720" s="1675"/>
      <c r="Z720" s="1675"/>
      <c r="AA720" s="1675"/>
    </row>
    <row r="721" spans="1:27" ht="13.5" customHeight="1" x14ac:dyDescent="0.3">
      <c r="A721" s="1675"/>
      <c r="B721" s="1675"/>
      <c r="C721" s="1678"/>
      <c r="D721" s="1771"/>
      <c r="E721" s="1771"/>
      <c r="F721" s="1771"/>
      <c r="G721" s="1689"/>
      <c r="H721" s="1674"/>
      <c r="I721" s="1675"/>
      <c r="J721" s="1675"/>
      <c r="K721" s="1675"/>
      <c r="L721" s="1675"/>
      <c r="M721" s="1676"/>
      <c r="N721" s="1676"/>
      <c r="O721" s="1676"/>
      <c r="P721" s="1675"/>
      <c r="Q721" s="1675"/>
      <c r="R721" s="1675"/>
      <c r="S721" s="1675"/>
      <c r="T721" s="1675"/>
      <c r="U721" s="1675"/>
      <c r="V721" s="1675"/>
      <c r="W721" s="1675"/>
      <c r="X721" s="1675"/>
      <c r="Y721" s="1675"/>
      <c r="Z721" s="1675"/>
      <c r="AA721" s="1675"/>
    </row>
    <row r="722" spans="1:27" ht="13.5" customHeight="1" x14ac:dyDescent="0.3">
      <c r="A722" s="1675"/>
      <c r="B722" s="1675"/>
      <c r="C722" s="1678"/>
      <c r="D722" s="1771"/>
      <c r="E722" s="1771"/>
      <c r="F722" s="1771"/>
      <c r="G722" s="1689"/>
      <c r="H722" s="1674"/>
      <c r="I722" s="1675"/>
      <c r="J722" s="1675"/>
      <c r="K722" s="1675"/>
      <c r="L722" s="1675"/>
      <c r="M722" s="1676"/>
      <c r="N722" s="1676"/>
      <c r="O722" s="1676"/>
      <c r="P722" s="1675"/>
      <c r="Q722" s="1675"/>
      <c r="R722" s="1675"/>
      <c r="S722" s="1675"/>
      <c r="T722" s="1675"/>
      <c r="U722" s="1675"/>
      <c r="V722" s="1675"/>
      <c r="W722" s="1675"/>
      <c r="X722" s="1675"/>
      <c r="Y722" s="1675"/>
      <c r="Z722" s="1675"/>
      <c r="AA722" s="1675"/>
    </row>
    <row r="723" spans="1:27" ht="13.5" customHeight="1" x14ac:dyDescent="0.3">
      <c r="A723" s="1675"/>
      <c r="B723" s="1675"/>
      <c r="C723" s="1678"/>
      <c r="D723" s="1771"/>
      <c r="E723" s="1771"/>
      <c r="F723" s="1771"/>
      <c r="G723" s="1689"/>
      <c r="H723" s="1674"/>
      <c r="I723" s="1675"/>
      <c r="J723" s="1675"/>
      <c r="K723" s="1675"/>
      <c r="L723" s="1675"/>
      <c r="M723" s="1676"/>
      <c r="N723" s="1676"/>
      <c r="O723" s="1676"/>
      <c r="P723" s="1675"/>
      <c r="Q723" s="1675"/>
      <c r="R723" s="1675"/>
      <c r="S723" s="1675"/>
      <c r="T723" s="1675"/>
      <c r="U723" s="1675"/>
      <c r="V723" s="1675"/>
      <c r="W723" s="1675"/>
      <c r="X723" s="1675"/>
      <c r="Y723" s="1675"/>
      <c r="Z723" s="1675"/>
      <c r="AA723" s="1675"/>
    </row>
    <row r="724" spans="1:27" ht="13.5" customHeight="1" x14ac:dyDescent="0.3">
      <c r="A724" s="1675"/>
      <c r="B724" s="1675"/>
      <c r="C724" s="1678"/>
      <c r="D724" s="1771"/>
      <c r="E724" s="1771"/>
      <c r="F724" s="1771"/>
      <c r="G724" s="1689"/>
      <c r="H724" s="1674"/>
      <c r="I724" s="1675"/>
      <c r="J724" s="1675"/>
      <c r="K724" s="1675"/>
      <c r="L724" s="1675"/>
      <c r="M724" s="1676"/>
      <c r="N724" s="1676"/>
      <c r="O724" s="1676"/>
      <c r="P724" s="1675"/>
      <c r="Q724" s="1675"/>
      <c r="R724" s="1675"/>
      <c r="S724" s="1675"/>
      <c r="T724" s="1675"/>
      <c r="U724" s="1675"/>
      <c r="V724" s="1675"/>
      <c r="W724" s="1675"/>
      <c r="X724" s="1675"/>
      <c r="Y724" s="1675"/>
      <c r="Z724" s="1675"/>
      <c r="AA724" s="1675"/>
    </row>
    <row r="725" spans="1:27" ht="13.5" customHeight="1" x14ac:dyDescent="0.3">
      <c r="A725" s="1675"/>
      <c r="B725" s="1675"/>
      <c r="C725" s="1678"/>
      <c r="D725" s="1771"/>
      <c r="E725" s="1771"/>
      <c r="F725" s="1771"/>
      <c r="G725" s="1689"/>
      <c r="H725" s="1674"/>
      <c r="I725" s="1675"/>
      <c r="J725" s="1675"/>
      <c r="K725" s="1675"/>
      <c r="L725" s="1675"/>
      <c r="M725" s="1676"/>
      <c r="N725" s="1676"/>
      <c r="O725" s="1676"/>
      <c r="P725" s="1675"/>
      <c r="Q725" s="1675"/>
      <c r="R725" s="1675"/>
      <c r="S725" s="1675"/>
      <c r="T725" s="1675"/>
      <c r="U725" s="1675"/>
      <c r="V725" s="1675"/>
      <c r="W725" s="1675"/>
      <c r="X725" s="1675"/>
      <c r="Y725" s="1675"/>
      <c r="Z725" s="1675"/>
      <c r="AA725" s="1675"/>
    </row>
    <row r="726" spans="1:27" ht="13.5" customHeight="1" x14ac:dyDescent="0.3">
      <c r="A726" s="1675"/>
      <c r="B726" s="1675"/>
      <c r="C726" s="1678"/>
      <c r="D726" s="1771"/>
      <c r="E726" s="1771"/>
      <c r="F726" s="1771"/>
      <c r="G726" s="1689"/>
      <c r="H726" s="1674"/>
      <c r="I726" s="1675"/>
      <c r="J726" s="1675"/>
      <c r="K726" s="1675"/>
      <c r="L726" s="1675"/>
      <c r="M726" s="1676"/>
      <c r="N726" s="1676"/>
      <c r="O726" s="1676"/>
      <c r="P726" s="1675"/>
      <c r="Q726" s="1675"/>
      <c r="R726" s="1675"/>
      <c r="S726" s="1675"/>
      <c r="T726" s="1675"/>
      <c r="U726" s="1675"/>
      <c r="V726" s="1675"/>
      <c r="W726" s="1675"/>
      <c r="X726" s="1675"/>
      <c r="Y726" s="1675"/>
      <c r="Z726" s="1675"/>
      <c r="AA726" s="1675"/>
    </row>
    <row r="727" spans="1:27" ht="13.5" customHeight="1" x14ac:dyDescent="0.3">
      <c r="A727" s="1675"/>
      <c r="B727" s="1675"/>
      <c r="C727" s="1678"/>
      <c r="D727" s="1771"/>
      <c r="E727" s="1771"/>
      <c r="F727" s="1771"/>
      <c r="G727" s="1689"/>
      <c r="H727" s="1674"/>
      <c r="I727" s="1675"/>
      <c r="J727" s="1675"/>
      <c r="K727" s="1675"/>
      <c r="L727" s="1675"/>
      <c r="M727" s="1676"/>
      <c r="N727" s="1676"/>
      <c r="O727" s="1676"/>
      <c r="P727" s="1675"/>
      <c r="Q727" s="1675"/>
      <c r="R727" s="1675"/>
      <c r="S727" s="1675"/>
      <c r="T727" s="1675"/>
      <c r="U727" s="1675"/>
      <c r="V727" s="1675"/>
      <c r="W727" s="1675"/>
      <c r="X727" s="1675"/>
      <c r="Y727" s="1675"/>
      <c r="Z727" s="1675"/>
      <c r="AA727" s="1675"/>
    </row>
    <row r="728" spans="1:27" ht="13.5" customHeight="1" x14ac:dyDescent="0.3">
      <c r="A728" s="1675"/>
      <c r="B728" s="1675"/>
      <c r="C728" s="1678"/>
      <c r="D728" s="1771"/>
      <c r="E728" s="1771"/>
      <c r="F728" s="1771"/>
      <c r="G728" s="1689"/>
      <c r="H728" s="1674"/>
      <c r="I728" s="1675"/>
      <c r="J728" s="1675"/>
      <c r="K728" s="1675"/>
      <c r="L728" s="1675"/>
      <c r="M728" s="1676"/>
      <c r="N728" s="1676"/>
      <c r="O728" s="1676"/>
      <c r="P728" s="1675"/>
      <c r="Q728" s="1675"/>
      <c r="R728" s="1675"/>
      <c r="S728" s="1675"/>
      <c r="T728" s="1675"/>
      <c r="U728" s="1675"/>
      <c r="V728" s="1675"/>
      <c r="W728" s="1675"/>
      <c r="X728" s="1675"/>
      <c r="Y728" s="1675"/>
      <c r="Z728" s="1675"/>
      <c r="AA728" s="1675"/>
    </row>
    <row r="729" spans="1:27" ht="13.5" customHeight="1" x14ac:dyDescent="0.3">
      <c r="A729" s="1675"/>
      <c r="B729" s="1675"/>
      <c r="C729" s="1678"/>
      <c r="D729" s="1771"/>
      <c r="E729" s="1771"/>
      <c r="F729" s="1771"/>
      <c r="G729" s="1689"/>
      <c r="H729" s="1674"/>
      <c r="I729" s="1675"/>
      <c r="J729" s="1675"/>
      <c r="K729" s="1675"/>
      <c r="L729" s="1675"/>
      <c r="M729" s="1676"/>
      <c r="N729" s="1676"/>
      <c r="O729" s="1676"/>
      <c r="P729" s="1675"/>
      <c r="Q729" s="1675"/>
      <c r="R729" s="1675"/>
      <c r="S729" s="1675"/>
      <c r="T729" s="1675"/>
      <c r="U729" s="1675"/>
      <c r="V729" s="1675"/>
      <c r="W729" s="1675"/>
      <c r="X729" s="1675"/>
      <c r="Y729" s="1675"/>
      <c r="Z729" s="1675"/>
      <c r="AA729" s="1675"/>
    </row>
    <row r="730" spans="1:27" ht="13.5" customHeight="1" x14ac:dyDescent="0.3">
      <c r="A730" s="1675"/>
      <c r="B730" s="1675"/>
      <c r="C730" s="1678"/>
      <c r="D730" s="1771"/>
      <c r="E730" s="1771"/>
      <c r="F730" s="1771"/>
      <c r="G730" s="1689"/>
      <c r="H730" s="1674"/>
      <c r="I730" s="1675"/>
      <c r="J730" s="1675"/>
      <c r="K730" s="1675"/>
      <c r="L730" s="1675"/>
      <c r="M730" s="1676"/>
      <c r="N730" s="1676"/>
      <c r="O730" s="1676"/>
      <c r="P730" s="1675"/>
      <c r="Q730" s="1675"/>
      <c r="R730" s="1675"/>
      <c r="S730" s="1675"/>
      <c r="T730" s="1675"/>
      <c r="U730" s="1675"/>
      <c r="V730" s="1675"/>
      <c r="W730" s="1675"/>
      <c r="X730" s="1675"/>
      <c r="Y730" s="1675"/>
      <c r="Z730" s="1675"/>
      <c r="AA730" s="1675"/>
    </row>
    <row r="731" spans="1:27" ht="13.5" customHeight="1" x14ac:dyDescent="0.3">
      <c r="A731" s="1675"/>
      <c r="B731" s="1675"/>
      <c r="C731" s="1678"/>
      <c r="D731" s="1771"/>
      <c r="E731" s="1771"/>
      <c r="F731" s="1771"/>
      <c r="G731" s="1689"/>
      <c r="H731" s="1674"/>
      <c r="I731" s="1675"/>
      <c r="J731" s="1675"/>
      <c r="K731" s="1675"/>
      <c r="L731" s="1675"/>
      <c r="M731" s="1676"/>
      <c r="N731" s="1676"/>
      <c r="O731" s="1676"/>
      <c r="P731" s="1675"/>
      <c r="Q731" s="1675"/>
      <c r="R731" s="1675"/>
      <c r="S731" s="1675"/>
      <c r="T731" s="1675"/>
      <c r="U731" s="1675"/>
      <c r="V731" s="1675"/>
      <c r="W731" s="1675"/>
      <c r="X731" s="1675"/>
      <c r="Y731" s="1675"/>
      <c r="Z731" s="1675"/>
      <c r="AA731" s="1675"/>
    </row>
    <row r="732" spans="1:27" ht="13.5" customHeight="1" x14ac:dyDescent="0.3">
      <c r="A732" s="1675"/>
      <c r="B732" s="1675"/>
      <c r="C732" s="1678"/>
      <c r="D732" s="1771"/>
      <c r="E732" s="1771"/>
      <c r="F732" s="1771"/>
      <c r="G732" s="1689"/>
      <c r="H732" s="1674"/>
      <c r="I732" s="1675"/>
      <c r="J732" s="1675"/>
      <c r="K732" s="1675"/>
      <c r="L732" s="1675"/>
      <c r="M732" s="1676"/>
      <c r="N732" s="1676"/>
      <c r="O732" s="1676"/>
      <c r="P732" s="1675"/>
      <c r="Q732" s="1675"/>
      <c r="R732" s="1675"/>
      <c r="S732" s="1675"/>
      <c r="T732" s="1675"/>
      <c r="U732" s="1675"/>
      <c r="V732" s="1675"/>
      <c r="W732" s="1675"/>
      <c r="X732" s="1675"/>
      <c r="Y732" s="1675"/>
      <c r="Z732" s="1675"/>
      <c r="AA732" s="1675"/>
    </row>
    <row r="733" spans="1:27" ht="13.5" customHeight="1" x14ac:dyDescent="0.3">
      <c r="A733" s="1675"/>
      <c r="B733" s="1675"/>
      <c r="C733" s="1678"/>
      <c r="D733" s="1771"/>
      <c r="E733" s="1771"/>
      <c r="F733" s="1771"/>
      <c r="G733" s="1689"/>
      <c r="H733" s="1674"/>
      <c r="I733" s="1675"/>
      <c r="J733" s="1675"/>
      <c r="K733" s="1675"/>
      <c r="L733" s="1675"/>
      <c r="M733" s="1676"/>
      <c r="N733" s="1676"/>
      <c r="O733" s="1676"/>
      <c r="P733" s="1675"/>
      <c r="Q733" s="1675"/>
      <c r="R733" s="1675"/>
      <c r="S733" s="1675"/>
      <c r="T733" s="1675"/>
      <c r="U733" s="1675"/>
      <c r="V733" s="1675"/>
      <c r="W733" s="1675"/>
      <c r="X733" s="1675"/>
      <c r="Y733" s="1675"/>
      <c r="Z733" s="1675"/>
      <c r="AA733" s="1675"/>
    </row>
    <row r="734" spans="1:27" ht="13.5" customHeight="1" x14ac:dyDescent="0.3">
      <c r="A734" s="1675"/>
      <c r="B734" s="1675"/>
      <c r="C734" s="1678"/>
      <c r="D734" s="1771"/>
      <c r="E734" s="1771"/>
      <c r="F734" s="1771"/>
      <c r="G734" s="1689"/>
      <c r="H734" s="1674"/>
      <c r="I734" s="1675"/>
      <c r="J734" s="1675"/>
      <c r="K734" s="1675"/>
      <c r="L734" s="1675"/>
      <c r="M734" s="1676"/>
      <c r="N734" s="1676"/>
      <c r="O734" s="1676"/>
      <c r="P734" s="1675"/>
      <c r="Q734" s="1675"/>
      <c r="R734" s="1675"/>
      <c r="S734" s="1675"/>
      <c r="T734" s="1675"/>
      <c r="U734" s="1675"/>
      <c r="V734" s="1675"/>
      <c r="W734" s="1675"/>
      <c r="X734" s="1675"/>
      <c r="Y734" s="1675"/>
      <c r="Z734" s="1675"/>
      <c r="AA734" s="1675"/>
    </row>
    <row r="735" spans="1:27" ht="13.5" customHeight="1" x14ac:dyDescent="0.3">
      <c r="A735" s="1675"/>
      <c r="B735" s="1675"/>
      <c r="C735" s="1678"/>
      <c r="D735" s="1771"/>
      <c r="E735" s="1771"/>
      <c r="F735" s="1771"/>
      <c r="G735" s="1689"/>
      <c r="H735" s="1674"/>
      <c r="I735" s="1675"/>
      <c r="J735" s="1675"/>
      <c r="K735" s="1675"/>
      <c r="L735" s="1675"/>
      <c r="M735" s="1676"/>
      <c r="N735" s="1676"/>
      <c r="O735" s="1676"/>
      <c r="P735" s="1675"/>
      <c r="Q735" s="1675"/>
      <c r="R735" s="1675"/>
      <c r="S735" s="1675"/>
      <c r="T735" s="1675"/>
      <c r="U735" s="1675"/>
      <c r="V735" s="1675"/>
      <c r="W735" s="1675"/>
      <c r="X735" s="1675"/>
      <c r="Y735" s="1675"/>
      <c r="Z735" s="1675"/>
      <c r="AA735" s="1675"/>
    </row>
    <row r="736" spans="1:27" ht="13.5" customHeight="1" x14ac:dyDescent="0.3">
      <c r="A736" s="1675"/>
      <c r="B736" s="1675"/>
      <c r="C736" s="1678"/>
      <c r="D736" s="1771"/>
      <c r="E736" s="1771"/>
      <c r="F736" s="1771"/>
      <c r="G736" s="1689"/>
      <c r="H736" s="1674"/>
      <c r="I736" s="1675"/>
      <c r="J736" s="1675"/>
      <c r="K736" s="1675"/>
      <c r="L736" s="1675"/>
      <c r="M736" s="1676"/>
      <c r="N736" s="1676"/>
      <c r="O736" s="1676"/>
      <c r="P736" s="1675"/>
      <c r="Q736" s="1675"/>
      <c r="R736" s="1675"/>
      <c r="S736" s="1675"/>
      <c r="T736" s="1675"/>
      <c r="U736" s="1675"/>
      <c r="V736" s="1675"/>
      <c r="W736" s="1675"/>
      <c r="X736" s="1675"/>
      <c r="Y736" s="1675"/>
      <c r="Z736" s="1675"/>
      <c r="AA736" s="1675"/>
    </row>
    <row r="737" spans="1:27" ht="13.5" customHeight="1" x14ac:dyDescent="0.3">
      <c r="A737" s="1675"/>
      <c r="B737" s="1675"/>
      <c r="C737" s="1678"/>
      <c r="D737" s="1771"/>
      <c r="E737" s="1771"/>
      <c r="F737" s="1771"/>
      <c r="G737" s="1689"/>
      <c r="H737" s="1674"/>
      <c r="I737" s="1675"/>
      <c r="J737" s="1675"/>
      <c r="K737" s="1675"/>
      <c r="L737" s="1675"/>
      <c r="M737" s="1676"/>
      <c r="N737" s="1676"/>
      <c r="O737" s="1676"/>
      <c r="P737" s="1675"/>
      <c r="Q737" s="1675"/>
      <c r="R737" s="1675"/>
      <c r="S737" s="1675"/>
      <c r="T737" s="1675"/>
      <c r="U737" s="1675"/>
      <c r="V737" s="1675"/>
      <c r="W737" s="1675"/>
      <c r="X737" s="1675"/>
      <c r="Y737" s="1675"/>
      <c r="Z737" s="1675"/>
      <c r="AA737" s="1675"/>
    </row>
    <row r="738" spans="1:27" ht="13.5" customHeight="1" x14ac:dyDescent="0.3">
      <c r="A738" s="1675"/>
      <c r="B738" s="1675"/>
      <c r="C738" s="1678"/>
      <c r="D738" s="1771"/>
      <c r="E738" s="1771"/>
      <c r="F738" s="1771"/>
      <c r="G738" s="1689"/>
      <c r="H738" s="1674"/>
      <c r="I738" s="1675"/>
      <c r="J738" s="1675"/>
      <c r="K738" s="1675"/>
      <c r="L738" s="1675"/>
      <c r="M738" s="1676"/>
      <c r="N738" s="1676"/>
      <c r="O738" s="1676"/>
      <c r="P738" s="1675"/>
      <c r="Q738" s="1675"/>
      <c r="R738" s="1675"/>
      <c r="S738" s="1675"/>
      <c r="T738" s="1675"/>
      <c r="U738" s="1675"/>
      <c r="V738" s="1675"/>
      <c r="W738" s="1675"/>
      <c r="X738" s="1675"/>
      <c r="Y738" s="1675"/>
      <c r="Z738" s="1675"/>
      <c r="AA738" s="1675"/>
    </row>
    <row r="739" spans="1:27" ht="13.5" customHeight="1" x14ac:dyDescent="0.3">
      <c r="A739" s="1675"/>
      <c r="B739" s="1675"/>
      <c r="C739" s="1678"/>
      <c r="D739" s="1771"/>
      <c r="E739" s="1771"/>
      <c r="F739" s="1771"/>
      <c r="G739" s="1689"/>
      <c r="H739" s="1674"/>
      <c r="I739" s="1675"/>
      <c r="J739" s="1675"/>
      <c r="K739" s="1675"/>
      <c r="L739" s="1675"/>
      <c r="M739" s="1676"/>
      <c r="N739" s="1676"/>
      <c r="O739" s="1676"/>
      <c r="P739" s="1675"/>
      <c r="Q739" s="1675"/>
      <c r="R739" s="1675"/>
      <c r="S739" s="1675"/>
      <c r="T739" s="1675"/>
      <c r="U739" s="1675"/>
      <c r="V739" s="1675"/>
      <c r="W739" s="1675"/>
      <c r="X739" s="1675"/>
      <c r="Y739" s="1675"/>
      <c r="Z739" s="1675"/>
      <c r="AA739" s="1675"/>
    </row>
    <row r="740" spans="1:27" ht="13.5" customHeight="1" x14ac:dyDescent="0.3">
      <c r="A740" s="1675"/>
      <c r="B740" s="1675"/>
      <c r="C740" s="1678"/>
      <c r="D740" s="1771"/>
      <c r="E740" s="1771"/>
      <c r="F740" s="1771"/>
      <c r="G740" s="1689"/>
      <c r="H740" s="1674"/>
      <c r="I740" s="1675"/>
      <c r="J740" s="1675"/>
      <c r="K740" s="1675"/>
      <c r="L740" s="1675"/>
      <c r="M740" s="1676"/>
      <c r="N740" s="1676"/>
      <c r="O740" s="1676"/>
      <c r="P740" s="1675"/>
      <c r="Q740" s="1675"/>
      <c r="R740" s="1675"/>
      <c r="S740" s="1675"/>
      <c r="T740" s="1675"/>
      <c r="U740" s="1675"/>
      <c r="V740" s="1675"/>
      <c r="W740" s="1675"/>
      <c r="X740" s="1675"/>
      <c r="Y740" s="1675"/>
      <c r="Z740" s="1675"/>
      <c r="AA740" s="1675"/>
    </row>
    <row r="741" spans="1:27" ht="13.5" customHeight="1" x14ac:dyDescent="0.3">
      <c r="A741" s="1675"/>
      <c r="B741" s="1675"/>
      <c r="C741" s="1678"/>
      <c r="D741" s="1771"/>
      <c r="E741" s="1771"/>
      <c r="F741" s="1771"/>
      <c r="G741" s="1689"/>
      <c r="H741" s="1674"/>
      <c r="I741" s="1675"/>
      <c r="J741" s="1675"/>
      <c r="K741" s="1675"/>
      <c r="L741" s="1675"/>
      <c r="M741" s="1676"/>
      <c r="N741" s="1676"/>
      <c r="O741" s="1676"/>
      <c r="P741" s="1675"/>
      <c r="Q741" s="1675"/>
      <c r="R741" s="1675"/>
      <c r="S741" s="1675"/>
      <c r="T741" s="1675"/>
      <c r="U741" s="1675"/>
      <c r="V741" s="1675"/>
      <c r="W741" s="1675"/>
      <c r="X741" s="1675"/>
      <c r="Y741" s="1675"/>
      <c r="Z741" s="1675"/>
      <c r="AA741" s="1675"/>
    </row>
    <row r="742" spans="1:27" ht="13.5" customHeight="1" x14ac:dyDescent="0.3">
      <c r="A742" s="1675"/>
      <c r="B742" s="1675"/>
      <c r="C742" s="1678"/>
      <c r="D742" s="1771"/>
      <c r="E742" s="1771"/>
      <c r="F742" s="1771"/>
      <c r="G742" s="1689"/>
      <c r="H742" s="1674"/>
      <c r="I742" s="1675"/>
      <c r="J742" s="1675"/>
      <c r="K742" s="1675"/>
      <c r="L742" s="1675"/>
      <c r="M742" s="1676"/>
      <c r="N742" s="1676"/>
      <c r="O742" s="1676"/>
      <c r="P742" s="1675"/>
      <c r="Q742" s="1675"/>
      <c r="R742" s="1675"/>
      <c r="S742" s="1675"/>
      <c r="T742" s="1675"/>
      <c r="U742" s="1675"/>
      <c r="V742" s="1675"/>
      <c r="W742" s="1675"/>
      <c r="X742" s="1675"/>
      <c r="Y742" s="1675"/>
      <c r="Z742" s="1675"/>
      <c r="AA742" s="1675"/>
    </row>
    <row r="743" spans="1:27" ht="13.5" customHeight="1" x14ac:dyDescent="0.3">
      <c r="A743" s="1675"/>
      <c r="B743" s="1675"/>
      <c r="C743" s="1678"/>
      <c r="D743" s="1771"/>
      <c r="E743" s="1771"/>
      <c r="F743" s="1771"/>
      <c r="G743" s="1689"/>
      <c r="H743" s="1674"/>
      <c r="I743" s="1675"/>
      <c r="J743" s="1675"/>
      <c r="K743" s="1675"/>
      <c r="L743" s="1675"/>
      <c r="M743" s="1676"/>
      <c r="N743" s="1676"/>
      <c r="O743" s="1676"/>
      <c r="P743" s="1675"/>
      <c r="Q743" s="1675"/>
      <c r="R743" s="1675"/>
      <c r="S743" s="1675"/>
      <c r="T743" s="1675"/>
      <c r="U743" s="1675"/>
      <c r="V743" s="1675"/>
      <c r="W743" s="1675"/>
      <c r="X743" s="1675"/>
      <c r="Y743" s="1675"/>
      <c r="Z743" s="1675"/>
      <c r="AA743" s="1675"/>
    </row>
    <row r="744" spans="1:27" ht="13.5" customHeight="1" x14ac:dyDescent="0.3">
      <c r="A744" s="1675"/>
      <c r="B744" s="1675"/>
      <c r="C744" s="1678"/>
      <c r="D744" s="1771"/>
      <c r="E744" s="1771"/>
      <c r="F744" s="1771"/>
      <c r="G744" s="1689"/>
      <c r="H744" s="1674"/>
      <c r="I744" s="1675"/>
      <c r="J744" s="1675"/>
      <c r="K744" s="1675"/>
      <c r="L744" s="1675"/>
      <c r="M744" s="1676"/>
      <c r="N744" s="1676"/>
      <c r="O744" s="1676"/>
      <c r="P744" s="1675"/>
      <c r="Q744" s="1675"/>
      <c r="R744" s="1675"/>
      <c r="S744" s="1675"/>
      <c r="T744" s="1675"/>
      <c r="U744" s="1675"/>
      <c r="V744" s="1675"/>
      <c r="W744" s="1675"/>
      <c r="X744" s="1675"/>
      <c r="Y744" s="1675"/>
      <c r="Z744" s="1675"/>
      <c r="AA744" s="1675"/>
    </row>
    <row r="745" spans="1:27" ht="13.5" customHeight="1" x14ac:dyDescent="0.3">
      <c r="A745" s="1675"/>
      <c r="B745" s="1675"/>
      <c r="C745" s="1678"/>
      <c r="D745" s="1771"/>
      <c r="E745" s="1771"/>
      <c r="F745" s="1771"/>
      <c r="G745" s="1689"/>
      <c r="H745" s="1674"/>
      <c r="I745" s="1675"/>
      <c r="J745" s="1675"/>
      <c r="K745" s="1675"/>
      <c r="L745" s="1675"/>
      <c r="M745" s="1676"/>
      <c r="N745" s="1676"/>
      <c r="O745" s="1676"/>
      <c r="P745" s="1675"/>
      <c r="Q745" s="1675"/>
      <c r="R745" s="1675"/>
      <c r="S745" s="1675"/>
      <c r="T745" s="1675"/>
      <c r="U745" s="1675"/>
      <c r="V745" s="1675"/>
      <c r="W745" s="1675"/>
      <c r="X745" s="1675"/>
      <c r="Y745" s="1675"/>
      <c r="Z745" s="1675"/>
      <c r="AA745" s="1675"/>
    </row>
    <row r="746" spans="1:27" ht="13.5" customHeight="1" x14ac:dyDescent="0.3">
      <c r="A746" s="1675"/>
      <c r="B746" s="1675"/>
      <c r="C746" s="1678"/>
      <c r="D746" s="1771"/>
      <c r="E746" s="1771"/>
      <c r="F746" s="1771"/>
      <c r="G746" s="1689"/>
      <c r="H746" s="1674"/>
      <c r="I746" s="1675"/>
      <c r="J746" s="1675"/>
      <c r="K746" s="1675"/>
      <c r="L746" s="1675"/>
      <c r="M746" s="1676"/>
      <c r="N746" s="1676"/>
      <c r="O746" s="1676"/>
      <c r="P746" s="1675"/>
      <c r="Q746" s="1675"/>
      <c r="R746" s="1675"/>
      <c r="S746" s="1675"/>
      <c r="T746" s="1675"/>
      <c r="U746" s="1675"/>
      <c r="V746" s="1675"/>
      <c r="W746" s="1675"/>
      <c r="X746" s="1675"/>
      <c r="Y746" s="1675"/>
      <c r="Z746" s="1675"/>
      <c r="AA746" s="1675"/>
    </row>
    <row r="747" spans="1:27" ht="13.5" customHeight="1" x14ac:dyDescent="0.3">
      <c r="A747" s="1675"/>
      <c r="B747" s="1675"/>
      <c r="C747" s="1678"/>
      <c r="D747" s="1771"/>
      <c r="E747" s="1771"/>
      <c r="F747" s="1771"/>
      <c r="G747" s="1689"/>
      <c r="H747" s="1674"/>
      <c r="I747" s="1675"/>
      <c r="J747" s="1675"/>
      <c r="K747" s="1675"/>
      <c r="L747" s="1675"/>
      <c r="M747" s="1676"/>
      <c r="N747" s="1676"/>
      <c r="O747" s="1676"/>
      <c r="P747" s="1675"/>
      <c r="Q747" s="1675"/>
      <c r="R747" s="1675"/>
      <c r="S747" s="1675"/>
      <c r="T747" s="1675"/>
      <c r="U747" s="1675"/>
      <c r="V747" s="1675"/>
      <c r="W747" s="1675"/>
      <c r="X747" s="1675"/>
      <c r="Y747" s="1675"/>
      <c r="Z747" s="1675"/>
      <c r="AA747" s="1675"/>
    </row>
    <row r="748" spans="1:27" ht="13.5" customHeight="1" x14ac:dyDescent="0.3">
      <c r="A748" s="1675"/>
      <c r="B748" s="1675"/>
      <c r="C748" s="1678"/>
      <c r="D748" s="1771"/>
      <c r="E748" s="1771"/>
      <c r="F748" s="1771"/>
      <c r="G748" s="1689"/>
      <c r="H748" s="1674"/>
      <c r="I748" s="1675"/>
      <c r="J748" s="1675"/>
      <c r="K748" s="1675"/>
      <c r="L748" s="1675"/>
      <c r="M748" s="1676"/>
      <c r="N748" s="1676"/>
      <c r="O748" s="1676"/>
      <c r="P748" s="1675"/>
      <c r="Q748" s="1675"/>
      <c r="R748" s="1675"/>
      <c r="S748" s="1675"/>
      <c r="T748" s="1675"/>
      <c r="U748" s="1675"/>
      <c r="V748" s="1675"/>
      <c r="W748" s="1675"/>
      <c r="X748" s="1675"/>
      <c r="Y748" s="1675"/>
      <c r="Z748" s="1675"/>
      <c r="AA748" s="1675"/>
    </row>
    <row r="749" spans="1:27" ht="13.5" customHeight="1" x14ac:dyDescent="0.3">
      <c r="A749" s="1675"/>
      <c r="B749" s="1675"/>
      <c r="C749" s="1678"/>
      <c r="D749" s="1771"/>
      <c r="E749" s="1771"/>
      <c r="F749" s="1771"/>
      <c r="G749" s="1689"/>
      <c r="H749" s="1674"/>
      <c r="I749" s="1675"/>
      <c r="J749" s="1675"/>
      <c r="K749" s="1675"/>
      <c r="L749" s="1675"/>
      <c r="M749" s="1676"/>
      <c r="N749" s="1676"/>
      <c r="O749" s="1676"/>
      <c r="P749" s="1675"/>
      <c r="Q749" s="1675"/>
      <c r="R749" s="1675"/>
      <c r="S749" s="1675"/>
      <c r="T749" s="1675"/>
      <c r="U749" s="1675"/>
      <c r="V749" s="1675"/>
      <c r="W749" s="1675"/>
      <c r="X749" s="1675"/>
      <c r="Y749" s="1675"/>
      <c r="Z749" s="1675"/>
      <c r="AA749" s="1675"/>
    </row>
    <row r="750" spans="1:27" ht="13.5" customHeight="1" x14ac:dyDescent="0.3">
      <c r="A750" s="1675"/>
      <c r="B750" s="1675"/>
      <c r="C750" s="1678"/>
      <c r="D750" s="1771"/>
      <c r="E750" s="1771"/>
      <c r="F750" s="1771"/>
      <c r="G750" s="1689"/>
      <c r="H750" s="1674"/>
      <c r="I750" s="1675"/>
      <c r="J750" s="1675"/>
      <c r="K750" s="1675"/>
      <c r="L750" s="1675"/>
      <c r="M750" s="1676"/>
      <c r="N750" s="1676"/>
      <c r="O750" s="1676"/>
      <c r="P750" s="1675"/>
      <c r="Q750" s="1675"/>
      <c r="R750" s="1675"/>
      <c r="S750" s="1675"/>
      <c r="T750" s="1675"/>
      <c r="U750" s="1675"/>
      <c r="V750" s="1675"/>
      <c r="W750" s="1675"/>
      <c r="X750" s="1675"/>
      <c r="Y750" s="1675"/>
      <c r="Z750" s="1675"/>
      <c r="AA750" s="1675"/>
    </row>
    <row r="751" spans="1:27" ht="13.5" customHeight="1" x14ac:dyDescent="0.3">
      <c r="A751" s="1675"/>
      <c r="B751" s="1675"/>
      <c r="C751" s="1678"/>
      <c r="D751" s="1771"/>
      <c r="E751" s="1771"/>
      <c r="F751" s="1771"/>
      <c r="G751" s="1689"/>
      <c r="H751" s="1674"/>
      <c r="I751" s="1675"/>
      <c r="J751" s="1675"/>
      <c r="K751" s="1675"/>
      <c r="L751" s="1675"/>
      <c r="M751" s="1676"/>
      <c r="N751" s="1676"/>
      <c r="O751" s="1676"/>
      <c r="P751" s="1675"/>
      <c r="Q751" s="1675"/>
      <c r="R751" s="1675"/>
      <c r="S751" s="1675"/>
      <c r="T751" s="1675"/>
      <c r="U751" s="1675"/>
      <c r="V751" s="1675"/>
      <c r="W751" s="1675"/>
      <c r="X751" s="1675"/>
      <c r="Y751" s="1675"/>
      <c r="Z751" s="1675"/>
      <c r="AA751" s="1675"/>
    </row>
    <row r="752" spans="1:27" ht="13.5" customHeight="1" x14ac:dyDescent="0.3">
      <c r="A752" s="1675"/>
      <c r="B752" s="1675"/>
      <c r="C752" s="1678"/>
      <c r="D752" s="1771"/>
      <c r="E752" s="1771"/>
      <c r="F752" s="1771"/>
      <c r="G752" s="1689"/>
      <c r="H752" s="1674"/>
      <c r="I752" s="1675"/>
      <c r="J752" s="1675"/>
      <c r="K752" s="1675"/>
      <c r="L752" s="1675"/>
      <c r="M752" s="1676"/>
      <c r="N752" s="1676"/>
      <c r="O752" s="1676"/>
      <c r="P752" s="1675"/>
      <c r="Q752" s="1675"/>
      <c r="R752" s="1675"/>
      <c r="S752" s="1675"/>
      <c r="T752" s="1675"/>
      <c r="U752" s="1675"/>
      <c r="V752" s="1675"/>
      <c r="W752" s="1675"/>
      <c r="X752" s="1675"/>
      <c r="Y752" s="1675"/>
      <c r="Z752" s="1675"/>
      <c r="AA752" s="1675"/>
    </row>
    <row r="753" spans="1:27" ht="13.5" customHeight="1" x14ac:dyDescent="0.3">
      <c r="A753" s="1675"/>
      <c r="B753" s="1675"/>
      <c r="C753" s="1678"/>
      <c r="D753" s="1771"/>
      <c r="E753" s="1771"/>
      <c r="F753" s="1771"/>
      <c r="G753" s="1689"/>
      <c r="H753" s="1674"/>
      <c r="I753" s="1675"/>
      <c r="J753" s="1675"/>
      <c r="K753" s="1675"/>
      <c r="L753" s="1675"/>
      <c r="M753" s="1676"/>
      <c r="N753" s="1676"/>
      <c r="O753" s="1676"/>
      <c r="P753" s="1675"/>
      <c r="Q753" s="1675"/>
      <c r="R753" s="1675"/>
      <c r="S753" s="1675"/>
      <c r="T753" s="1675"/>
      <c r="U753" s="1675"/>
      <c r="V753" s="1675"/>
      <c r="W753" s="1675"/>
      <c r="X753" s="1675"/>
      <c r="Y753" s="1675"/>
      <c r="Z753" s="1675"/>
      <c r="AA753" s="1675"/>
    </row>
    <row r="754" spans="1:27" ht="13.5" customHeight="1" x14ac:dyDescent="0.3">
      <c r="A754" s="1675"/>
      <c r="B754" s="1675"/>
      <c r="C754" s="1678"/>
      <c r="D754" s="1771"/>
      <c r="E754" s="1771"/>
      <c r="F754" s="1771"/>
      <c r="G754" s="1689"/>
      <c r="H754" s="1674"/>
      <c r="I754" s="1675"/>
      <c r="J754" s="1675"/>
      <c r="K754" s="1675"/>
      <c r="L754" s="1675"/>
      <c r="M754" s="1676"/>
      <c r="N754" s="1676"/>
      <c r="O754" s="1676"/>
      <c r="P754" s="1675"/>
      <c r="Q754" s="1675"/>
      <c r="R754" s="1675"/>
      <c r="S754" s="1675"/>
      <c r="T754" s="1675"/>
      <c r="U754" s="1675"/>
      <c r="V754" s="1675"/>
      <c r="W754" s="1675"/>
      <c r="X754" s="1675"/>
      <c r="Y754" s="1675"/>
      <c r="Z754" s="1675"/>
      <c r="AA754" s="1675"/>
    </row>
    <row r="755" spans="1:27" ht="13.5" customHeight="1" x14ac:dyDescent="0.3">
      <c r="A755" s="1675"/>
      <c r="B755" s="1675"/>
      <c r="C755" s="1678"/>
      <c r="D755" s="1771"/>
      <c r="E755" s="1771"/>
      <c r="F755" s="1771"/>
      <c r="G755" s="1689"/>
      <c r="H755" s="1674"/>
      <c r="I755" s="1675"/>
      <c r="J755" s="1675"/>
      <c r="K755" s="1675"/>
      <c r="L755" s="1675"/>
      <c r="M755" s="1676"/>
      <c r="N755" s="1676"/>
      <c r="O755" s="1676"/>
      <c r="P755" s="1675"/>
      <c r="Q755" s="1675"/>
      <c r="R755" s="1675"/>
      <c r="S755" s="1675"/>
      <c r="T755" s="1675"/>
      <c r="U755" s="1675"/>
      <c r="V755" s="1675"/>
      <c r="W755" s="1675"/>
      <c r="X755" s="1675"/>
      <c r="Y755" s="1675"/>
      <c r="Z755" s="1675"/>
      <c r="AA755" s="1675"/>
    </row>
    <row r="756" spans="1:27" ht="13.5" customHeight="1" x14ac:dyDescent="0.3">
      <c r="A756" s="1675"/>
      <c r="B756" s="1675"/>
      <c r="C756" s="1678"/>
      <c r="D756" s="1771"/>
      <c r="E756" s="1771"/>
      <c r="F756" s="1771"/>
      <c r="G756" s="1689"/>
      <c r="H756" s="1674"/>
      <c r="I756" s="1675"/>
      <c r="J756" s="1675"/>
      <c r="K756" s="1675"/>
      <c r="L756" s="1675"/>
      <c r="M756" s="1676"/>
      <c r="N756" s="1676"/>
      <c r="O756" s="1676"/>
      <c r="P756" s="1675"/>
      <c r="Q756" s="1675"/>
      <c r="R756" s="1675"/>
      <c r="S756" s="1675"/>
      <c r="T756" s="1675"/>
      <c r="U756" s="1675"/>
      <c r="V756" s="1675"/>
      <c r="W756" s="1675"/>
      <c r="X756" s="1675"/>
      <c r="Y756" s="1675"/>
      <c r="Z756" s="1675"/>
      <c r="AA756" s="1675"/>
    </row>
    <row r="757" spans="1:27" ht="13.5" customHeight="1" x14ac:dyDescent="0.3">
      <c r="A757" s="1675"/>
      <c r="B757" s="1675"/>
      <c r="C757" s="1678"/>
      <c r="D757" s="1771"/>
      <c r="E757" s="1771"/>
      <c r="F757" s="1771"/>
      <c r="G757" s="1689"/>
      <c r="H757" s="1674"/>
      <c r="I757" s="1675"/>
      <c r="J757" s="1675"/>
      <c r="K757" s="1675"/>
      <c r="L757" s="1675"/>
      <c r="M757" s="1676"/>
      <c r="N757" s="1676"/>
      <c r="O757" s="1676"/>
      <c r="P757" s="1675"/>
      <c r="Q757" s="1675"/>
      <c r="R757" s="1675"/>
      <c r="S757" s="1675"/>
      <c r="T757" s="1675"/>
      <c r="U757" s="1675"/>
      <c r="V757" s="1675"/>
      <c r="W757" s="1675"/>
      <c r="X757" s="1675"/>
      <c r="Y757" s="1675"/>
      <c r="Z757" s="1675"/>
      <c r="AA757" s="1675"/>
    </row>
    <row r="758" spans="1:27" ht="13.5" customHeight="1" x14ac:dyDescent="0.3">
      <c r="A758" s="1675"/>
      <c r="B758" s="1675"/>
      <c r="C758" s="1678"/>
      <c r="D758" s="1771"/>
      <c r="E758" s="1771"/>
      <c r="F758" s="1771"/>
      <c r="G758" s="1689"/>
      <c r="H758" s="1674"/>
      <c r="I758" s="1675"/>
      <c r="J758" s="1675"/>
      <c r="K758" s="1675"/>
      <c r="L758" s="1675"/>
      <c r="M758" s="1676"/>
      <c r="N758" s="1676"/>
      <c r="O758" s="1676"/>
      <c r="P758" s="1675"/>
      <c r="Q758" s="1675"/>
      <c r="R758" s="1675"/>
      <c r="S758" s="1675"/>
      <c r="T758" s="1675"/>
      <c r="U758" s="1675"/>
      <c r="V758" s="1675"/>
      <c r="W758" s="1675"/>
      <c r="X758" s="1675"/>
      <c r="Y758" s="1675"/>
      <c r="Z758" s="1675"/>
      <c r="AA758" s="1675"/>
    </row>
    <row r="759" spans="1:27" ht="13.5" customHeight="1" x14ac:dyDescent="0.3">
      <c r="A759" s="1675"/>
      <c r="B759" s="1675"/>
      <c r="C759" s="1678"/>
      <c r="D759" s="1771"/>
      <c r="E759" s="1771"/>
      <c r="F759" s="1771"/>
      <c r="G759" s="1689"/>
      <c r="H759" s="1674"/>
      <c r="I759" s="1675"/>
      <c r="J759" s="1675"/>
      <c r="K759" s="1675"/>
      <c r="L759" s="1675"/>
      <c r="M759" s="1676"/>
      <c r="N759" s="1676"/>
      <c r="O759" s="1676"/>
      <c r="P759" s="1675"/>
      <c r="Q759" s="1675"/>
      <c r="R759" s="1675"/>
      <c r="S759" s="1675"/>
      <c r="T759" s="1675"/>
      <c r="U759" s="1675"/>
      <c r="V759" s="1675"/>
      <c r="W759" s="1675"/>
      <c r="X759" s="1675"/>
      <c r="Y759" s="1675"/>
      <c r="Z759" s="1675"/>
      <c r="AA759" s="1675"/>
    </row>
    <row r="760" spans="1:27" ht="13.5" customHeight="1" x14ac:dyDescent="0.3">
      <c r="A760" s="1675"/>
      <c r="B760" s="1675"/>
      <c r="C760" s="1678"/>
      <c r="D760" s="1771"/>
      <c r="E760" s="1771"/>
      <c r="F760" s="1771"/>
      <c r="G760" s="1689"/>
      <c r="H760" s="1674"/>
      <c r="I760" s="1675"/>
      <c r="J760" s="1675"/>
      <c r="K760" s="1675"/>
      <c r="L760" s="1675"/>
      <c r="M760" s="1676"/>
      <c r="N760" s="1676"/>
      <c r="O760" s="1676"/>
      <c r="P760" s="1675"/>
      <c r="Q760" s="1675"/>
      <c r="R760" s="1675"/>
      <c r="S760" s="1675"/>
      <c r="T760" s="1675"/>
      <c r="U760" s="1675"/>
      <c r="V760" s="1675"/>
      <c r="W760" s="1675"/>
      <c r="X760" s="1675"/>
      <c r="Y760" s="1675"/>
      <c r="Z760" s="1675"/>
      <c r="AA760" s="1675"/>
    </row>
    <row r="761" spans="1:27" ht="13.5" customHeight="1" x14ac:dyDescent="0.3">
      <c r="A761" s="1675"/>
      <c r="B761" s="1675"/>
      <c r="C761" s="1678"/>
      <c r="D761" s="1771"/>
      <c r="E761" s="1771"/>
      <c r="F761" s="1771"/>
      <c r="G761" s="1689"/>
      <c r="H761" s="1674"/>
      <c r="I761" s="1675"/>
      <c r="J761" s="1675"/>
      <c r="K761" s="1675"/>
      <c r="L761" s="1675"/>
      <c r="M761" s="1676"/>
      <c r="N761" s="1676"/>
      <c r="O761" s="1676"/>
      <c r="P761" s="1675"/>
      <c r="Q761" s="1675"/>
      <c r="R761" s="1675"/>
      <c r="S761" s="1675"/>
      <c r="T761" s="1675"/>
      <c r="U761" s="1675"/>
      <c r="V761" s="1675"/>
      <c r="W761" s="1675"/>
      <c r="X761" s="1675"/>
      <c r="Y761" s="1675"/>
      <c r="Z761" s="1675"/>
      <c r="AA761" s="1675"/>
    </row>
    <row r="762" spans="1:27" ht="13.5" customHeight="1" x14ac:dyDescent="0.3">
      <c r="A762" s="1675"/>
      <c r="B762" s="1675"/>
      <c r="C762" s="1678"/>
      <c r="D762" s="1771"/>
      <c r="E762" s="1771"/>
      <c r="F762" s="1771"/>
      <c r="G762" s="1689"/>
      <c r="H762" s="1674"/>
      <c r="I762" s="1675"/>
      <c r="J762" s="1675"/>
      <c r="K762" s="1675"/>
      <c r="L762" s="1675"/>
      <c r="M762" s="1676"/>
      <c r="N762" s="1676"/>
      <c r="O762" s="1676"/>
      <c r="P762" s="1675"/>
      <c r="Q762" s="1675"/>
      <c r="R762" s="1675"/>
      <c r="S762" s="1675"/>
      <c r="T762" s="1675"/>
      <c r="U762" s="1675"/>
      <c r="V762" s="1675"/>
      <c r="W762" s="1675"/>
      <c r="X762" s="1675"/>
      <c r="Y762" s="1675"/>
      <c r="Z762" s="1675"/>
      <c r="AA762" s="1675"/>
    </row>
    <row r="763" spans="1:27" ht="13.5" customHeight="1" x14ac:dyDescent="0.3">
      <c r="A763" s="1675"/>
      <c r="B763" s="1675"/>
      <c r="C763" s="1678"/>
      <c r="D763" s="1771"/>
      <c r="E763" s="1771"/>
      <c r="F763" s="1771"/>
      <c r="G763" s="1689"/>
      <c r="H763" s="1674"/>
      <c r="I763" s="1675"/>
      <c r="J763" s="1675"/>
      <c r="K763" s="1675"/>
      <c r="L763" s="1675"/>
      <c r="M763" s="1676"/>
      <c r="N763" s="1676"/>
      <c r="O763" s="1676"/>
      <c r="P763" s="1675"/>
      <c r="Q763" s="1675"/>
      <c r="R763" s="1675"/>
      <c r="S763" s="1675"/>
      <c r="T763" s="1675"/>
      <c r="U763" s="1675"/>
      <c r="V763" s="1675"/>
      <c r="W763" s="1675"/>
      <c r="X763" s="1675"/>
      <c r="Y763" s="1675"/>
      <c r="Z763" s="1675"/>
      <c r="AA763" s="1675"/>
    </row>
    <row r="764" spans="1:27" ht="13.5" customHeight="1" x14ac:dyDescent="0.3">
      <c r="A764" s="1675"/>
      <c r="B764" s="1675"/>
      <c r="C764" s="1678"/>
      <c r="D764" s="1771"/>
      <c r="E764" s="1771"/>
      <c r="F764" s="1771"/>
      <c r="G764" s="1689"/>
      <c r="H764" s="1674"/>
      <c r="I764" s="1675"/>
      <c r="J764" s="1675"/>
      <c r="K764" s="1675"/>
      <c r="L764" s="1675"/>
      <c r="M764" s="1676"/>
      <c r="N764" s="1676"/>
      <c r="O764" s="1676"/>
      <c r="P764" s="1675"/>
      <c r="Q764" s="1675"/>
      <c r="R764" s="1675"/>
      <c r="S764" s="1675"/>
      <c r="T764" s="1675"/>
      <c r="U764" s="1675"/>
      <c r="V764" s="1675"/>
      <c r="W764" s="1675"/>
      <c r="X764" s="1675"/>
      <c r="Y764" s="1675"/>
      <c r="Z764" s="1675"/>
      <c r="AA764" s="1675"/>
    </row>
    <row r="765" spans="1:27" ht="13.5" customHeight="1" x14ac:dyDescent="0.3">
      <c r="A765" s="1675"/>
      <c r="B765" s="1675"/>
      <c r="C765" s="1678"/>
      <c r="D765" s="1771"/>
      <c r="E765" s="1771"/>
      <c r="F765" s="1771"/>
      <c r="G765" s="1689"/>
      <c r="H765" s="1674"/>
      <c r="I765" s="1675"/>
      <c r="J765" s="1675"/>
      <c r="K765" s="1675"/>
      <c r="L765" s="1675"/>
      <c r="M765" s="1676"/>
      <c r="N765" s="1676"/>
      <c r="O765" s="1676"/>
      <c r="P765" s="1675"/>
      <c r="Q765" s="1675"/>
      <c r="R765" s="1675"/>
      <c r="S765" s="1675"/>
      <c r="T765" s="1675"/>
      <c r="U765" s="1675"/>
      <c r="V765" s="1675"/>
      <c r="W765" s="1675"/>
      <c r="X765" s="1675"/>
      <c r="Y765" s="1675"/>
      <c r="Z765" s="1675"/>
      <c r="AA765" s="1675"/>
    </row>
    <row r="766" spans="1:27" ht="13.5" customHeight="1" x14ac:dyDescent="0.3">
      <c r="A766" s="1675"/>
      <c r="B766" s="1675"/>
      <c r="C766" s="1678"/>
      <c r="D766" s="1771"/>
      <c r="E766" s="1771"/>
      <c r="F766" s="1771"/>
      <c r="G766" s="1689"/>
      <c r="H766" s="1674"/>
      <c r="I766" s="1675"/>
      <c r="J766" s="1675"/>
      <c r="K766" s="1675"/>
      <c r="L766" s="1675"/>
      <c r="M766" s="1676"/>
      <c r="N766" s="1676"/>
      <c r="O766" s="1676"/>
      <c r="P766" s="1675"/>
      <c r="Q766" s="1675"/>
      <c r="R766" s="1675"/>
      <c r="S766" s="1675"/>
      <c r="T766" s="1675"/>
      <c r="U766" s="1675"/>
      <c r="V766" s="1675"/>
      <c r="W766" s="1675"/>
      <c r="X766" s="1675"/>
      <c r="Y766" s="1675"/>
      <c r="Z766" s="1675"/>
      <c r="AA766" s="1675"/>
    </row>
    <row r="767" spans="1:27" ht="13.5" customHeight="1" x14ac:dyDescent="0.3">
      <c r="A767" s="1675"/>
      <c r="B767" s="1675"/>
      <c r="C767" s="1678"/>
      <c r="D767" s="1771"/>
      <c r="E767" s="1771"/>
      <c r="F767" s="1771"/>
      <c r="G767" s="1689"/>
      <c r="H767" s="1674"/>
      <c r="I767" s="1675"/>
      <c r="J767" s="1675"/>
      <c r="K767" s="1675"/>
      <c r="L767" s="1675"/>
      <c r="M767" s="1676"/>
      <c r="N767" s="1676"/>
      <c r="O767" s="1676"/>
      <c r="P767" s="1675"/>
      <c r="Q767" s="1675"/>
      <c r="R767" s="1675"/>
      <c r="S767" s="1675"/>
      <c r="T767" s="1675"/>
      <c r="U767" s="1675"/>
      <c r="V767" s="1675"/>
      <c r="W767" s="1675"/>
      <c r="X767" s="1675"/>
      <c r="Y767" s="1675"/>
      <c r="Z767" s="1675"/>
      <c r="AA767" s="1675"/>
    </row>
    <row r="768" spans="1:27" ht="13.5" customHeight="1" x14ac:dyDescent="0.3">
      <c r="A768" s="1675"/>
      <c r="B768" s="1675"/>
      <c r="C768" s="1678"/>
      <c r="D768" s="1771"/>
      <c r="E768" s="1771"/>
      <c r="F768" s="1771"/>
      <c r="G768" s="1689"/>
      <c r="H768" s="1674"/>
      <c r="I768" s="1675"/>
      <c r="J768" s="1675"/>
      <c r="K768" s="1675"/>
      <c r="L768" s="1675"/>
      <c r="M768" s="1676"/>
      <c r="N768" s="1676"/>
      <c r="O768" s="1676"/>
      <c r="P768" s="1675"/>
      <c r="Q768" s="1675"/>
      <c r="R768" s="1675"/>
      <c r="S768" s="1675"/>
      <c r="T768" s="1675"/>
      <c r="U768" s="1675"/>
      <c r="V768" s="1675"/>
      <c r="W768" s="1675"/>
      <c r="X768" s="1675"/>
      <c r="Y768" s="1675"/>
      <c r="Z768" s="1675"/>
      <c r="AA768" s="1675"/>
    </row>
    <row r="769" spans="1:27" ht="13.5" customHeight="1" x14ac:dyDescent="0.3">
      <c r="A769" s="1675"/>
      <c r="B769" s="1675"/>
      <c r="C769" s="1678"/>
      <c r="D769" s="1771"/>
      <c r="E769" s="1771"/>
      <c r="F769" s="1771"/>
      <c r="G769" s="1689"/>
      <c r="H769" s="1674"/>
      <c r="I769" s="1675"/>
      <c r="J769" s="1675"/>
      <c r="K769" s="1675"/>
      <c r="L769" s="1675"/>
      <c r="M769" s="1676"/>
      <c r="N769" s="1676"/>
      <c r="O769" s="1676"/>
      <c r="P769" s="1675"/>
      <c r="Q769" s="1675"/>
      <c r="R769" s="1675"/>
      <c r="S769" s="1675"/>
      <c r="T769" s="1675"/>
      <c r="U769" s="1675"/>
      <c r="V769" s="1675"/>
      <c r="W769" s="1675"/>
      <c r="X769" s="1675"/>
      <c r="Y769" s="1675"/>
      <c r="Z769" s="1675"/>
      <c r="AA769" s="1675"/>
    </row>
    <row r="770" spans="1:27" ht="13.5" customHeight="1" x14ac:dyDescent="0.3">
      <c r="A770" s="1675"/>
      <c r="B770" s="1675"/>
      <c r="C770" s="1678"/>
      <c r="D770" s="1771"/>
      <c r="E770" s="1771"/>
      <c r="F770" s="1771"/>
      <c r="G770" s="1689"/>
      <c r="H770" s="1674"/>
      <c r="I770" s="1675"/>
      <c r="J770" s="1675"/>
      <c r="K770" s="1675"/>
      <c r="L770" s="1675"/>
      <c r="M770" s="1676"/>
      <c r="N770" s="1676"/>
      <c r="O770" s="1676"/>
      <c r="P770" s="1675"/>
      <c r="Q770" s="1675"/>
      <c r="R770" s="1675"/>
      <c r="S770" s="1675"/>
      <c r="T770" s="1675"/>
      <c r="U770" s="1675"/>
      <c r="V770" s="1675"/>
      <c r="W770" s="1675"/>
      <c r="X770" s="1675"/>
      <c r="Y770" s="1675"/>
      <c r="Z770" s="1675"/>
      <c r="AA770" s="1675"/>
    </row>
    <row r="771" spans="1:27" ht="13.5" customHeight="1" x14ac:dyDescent="0.3">
      <c r="A771" s="1675"/>
      <c r="B771" s="1675"/>
      <c r="C771" s="1678"/>
      <c r="D771" s="1771"/>
      <c r="E771" s="1771"/>
      <c r="F771" s="1771"/>
      <c r="G771" s="1689"/>
      <c r="H771" s="1674"/>
      <c r="I771" s="1675"/>
      <c r="J771" s="1675"/>
      <c r="K771" s="1675"/>
      <c r="L771" s="1675"/>
      <c r="M771" s="1676"/>
      <c r="N771" s="1676"/>
      <c r="O771" s="1676"/>
      <c r="P771" s="1675"/>
      <c r="Q771" s="1675"/>
      <c r="R771" s="1675"/>
      <c r="S771" s="1675"/>
      <c r="T771" s="1675"/>
      <c r="U771" s="1675"/>
      <c r="V771" s="1675"/>
      <c r="W771" s="1675"/>
      <c r="X771" s="1675"/>
      <c r="Y771" s="1675"/>
      <c r="Z771" s="1675"/>
      <c r="AA771" s="1675"/>
    </row>
    <row r="772" spans="1:27" ht="13.5" customHeight="1" x14ac:dyDescent="0.3">
      <c r="A772" s="1675"/>
      <c r="B772" s="1675"/>
      <c r="C772" s="1678"/>
      <c r="D772" s="1771"/>
      <c r="E772" s="1771"/>
      <c r="F772" s="1771"/>
      <c r="G772" s="1689"/>
      <c r="H772" s="1674"/>
      <c r="I772" s="1675"/>
      <c r="J772" s="1675"/>
      <c r="K772" s="1675"/>
      <c r="L772" s="1675"/>
      <c r="M772" s="1676"/>
      <c r="N772" s="1676"/>
      <c r="O772" s="1676"/>
      <c r="P772" s="1675"/>
      <c r="Q772" s="1675"/>
      <c r="R772" s="1675"/>
      <c r="S772" s="1675"/>
      <c r="T772" s="1675"/>
      <c r="U772" s="1675"/>
      <c r="V772" s="1675"/>
      <c r="W772" s="1675"/>
      <c r="X772" s="1675"/>
      <c r="Y772" s="1675"/>
      <c r="Z772" s="1675"/>
      <c r="AA772" s="1675"/>
    </row>
    <row r="773" spans="1:27" ht="13.5" customHeight="1" x14ac:dyDescent="0.3">
      <c r="A773" s="1675"/>
      <c r="B773" s="1675"/>
      <c r="C773" s="1678"/>
      <c r="D773" s="1771"/>
      <c r="E773" s="1771"/>
      <c r="F773" s="1771"/>
      <c r="G773" s="1689"/>
      <c r="H773" s="1674"/>
      <c r="I773" s="1675"/>
      <c r="J773" s="1675"/>
      <c r="K773" s="1675"/>
      <c r="L773" s="1675"/>
      <c r="M773" s="1676"/>
      <c r="N773" s="1676"/>
      <c r="O773" s="1676"/>
      <c r="P773" s="1675"/>
      <c r="Q773" s="1675"/>
      <c r="R773" s="1675"/>
      <c r="S773" s="1675"/>
      <c r="T773" s="1675"/>
      <c r="U773" s="1675"/>
      <c r="V773" s="1675"/>
      <c r="W773" s="1675"/>
      <c r="X773" s="1675"/>
      <c r="Y773" s="1675"/>
      <c r="Z773" s="1675"/>
      <c r="AA773" s="1675"/>
    </row>
    <row r="774" spans="1:27" ht="13.5" customHeight="1" x14ac:dyDescent="0.3">
      <c r="A774" s="1675"/>
      <c r="B774" s="1675"/>
      <c r="C774" s="1678"/>
      <c r="D774" s="1771"/>
      <c r="E774" s="1771"/>
      <c r="F774" s="1771"/>
      <c r="G774" s="1689"/>
      <c r="H774" s="1674"/>
      <c r="I774" s="1675"/>
      <c r="J774" s="1675"/>
      <c r="K774" s="1675"/>
      <c r="L774" s="1675"/>
      <c r="M774" s="1676"/>
      <c r="N774" s="1676"/>
      <c r="O774" s="1676"/>
      <c r="P774" s="1675"/>
      <c r="Q774" s="1675"/>
      <c r="R774" s="1675"/>
      <c r="S774" s="1675"/>
      <c r="T774" s="1675"/>
      <c r="U774" s="1675"/>
      <c r="V774" s="1675"/>
      <c r="W774" s="1675"/>
      <c r="X774" s="1675"/>
      <c r="Y774" s="1675"/>
      <c r="Z774" s="1675"/>
      <c r="AA774" s="1675"/>
    </row>
    <row r="775" spans="1:27" ht="13.5" customHeight="1" x14ac:dyDescent="0.3">
      <c r="A775" s="1675"/>
      <c r="B775" s="1675"/>
      <c r="C775" s="1678"/>
      <c r="D775" s="1771"/>
      <c r="E775" s="1771"/>
      <c r="F775" s="1771"/>
      <c r="G775" s="1689"/>
      <c r="H775" s="1674"/>
      <c r="I775" s="1675"/>
      <c r="J775" s="1675"/>
      <c r="K775" s="1675"/>
      <c r="L775" s="1675"/>
      <c r="M775" s="1676"/>
      <c r="N775" s="1676"/>
      <c r="O775" s="1676"/>
      <c r="P775" s="1675"/>
      <c r="Q775" s="1675"/>
      <c r="R775" s="1675"/>
      <c r="S775" s="1675"/>
      <c r="T775" s="1675"/>
      <c r="U775" s="1675"/>
      <c r="V775" s="1675"/>
      <c r="W775" s="1675"/>
      <c r="X775" s="1675"/>
      <c r="Y775" s="1675"/>
      <c r="Z775" s="1675"/>
      <c r="AA775" s="1675"/>
    </row>
    <row r="776" spans="1:27" ht="13.5" customHeight="1" x14ac:dyDescent="0.3">
      <c r="A776" s="1675"/>
      <c r="B776" s="1675"/>
      <c r="C776" s="1678"/>
      <c r="D776" s="1771"/>
      <c r="E776" s="1771"/>
      <c r="F776" s="1771"/>
      <c r="G776" s="1689"/>
      <c r="H776" s="1674"/>
      <c r="I776" s="1675"/>
      <c r="J776" s="1675"/>
      <c r="K776" s="1675"/>
      <c r="L776" s="1675"/>
      <c r="M776" s="1676"/>
      <c r="N776" s="1676"/>
      <c r="O776" s="1676"/>
      <c r="P776" s="1675"/>
      <c r="Q776" s="1675"/>
      <c r="R776" s="1675"/>
      <c r="S776" s="1675"/>
      <c r="T776" s="1675"/>
      <c r="U776" s="1675"/>
      <c r="V776" s="1675"/>
      <c r="W776" s="1675"/>
      <c r="X776" s="1675"/>
      <c r="Y776" s="1675"/>
      <c r="Z776" s="1675"/>
      <c r="AA776" s="1675"/>
    </row>
    <row r="777" spans="1:27" ht="13.5" customHeight="1" x14ac:dyDescent="0.3">
      <c r="A777" s="1675"/>
      <c r="B777" s="1675"/>
      <c r="C777" s="1678"/>
      <c r="D777" s="1771"/>
      <c r="E777" s="1771"/>
      <c r="F777" s="1771"/>
      <c r="G777" s="1689"/>
      <c r="H777" s="1674"/>
      <c r="I777" s="1675"/>
      <c r="J777" s="1675"/>
      <c r="K777" s="1675"/>
      <c r="L777" s="1675"/>
      <c r="M777" s="1676"/>
      <c r="N777" s="1676"/>
      <c r="O777" s="1676"/>
      <c r="P777" s="1675"/>
      <c r="Q777" s="1675"/>
      <c r="R777" s="1675"/>
      <c r="S777" s="1675"/>
      <c r="T777" s="1675"/>
      <c r="U777" s="1675"/>
      <c r="V777" s="1675"/>
      <c r="W777" s="1675"/>
      <c r="X777" s="1675"/>
      <c r="Y777" s="1675"/>
      <c r="Z777" s="1675"/>
      <c r="AA777" s="1675"/>
    </row>
    <row r="778" spans="1:27" ht="13.5" customHeight="1" x14ac:dyDescent="0.3">
      <c r="A778" s="1675"/>
      <c r="B778" s="1675"/>
      <c r="C778" s="1678"/>
      <c r="D778" s="1771"/>
      <c r="E778" s="1771"/>
      <c r="F778" s="1771"/>
      <c r="G778" s="1689"/>
      <c r="H778" s="1674"/>
      <c r="I778" s="1675"/>
      <c r="J778" s="1675"/>
      <c r="K778" s="1675"/>
      <c r="L778" s="1675"/>
      <c r="M778" s="1676"/>
      <c r="N778" s="1676"/>
      <c r="O778" s="1676"/>
      <c r="P778" s="1675"/>
      <c r="Q778" s="1675"/>
      <c r="R778" s="1675"/>
      <c r="S778" s="1675"/>
      <c r="T778" s="1675"/>
      <c r="U778" s="1675"/>
      <c r="V778" s="1675"/>
      <c r="W778" s="1675"/>
      <c r="X778" s="1675"/>
      <c r="Y778" s="1675"/>
      <c r="Z778" s="1675"/>
      <c r="AA778" s="1675"/>
    </row>
    <row r="779" spans="1:27" ht="13.5" customHeight="1" x14ac:dyDescent="0.3">
      <c r="A779" s="1675"/>
      <c r="B779" s="1675"/>
      <c r="C779" s="1678"/>
      <c r="D779" s="1771"/>
      <c r="E779" s="1771"/>
      <c r="F779" s="1771"/>
      <c r="G779" s="1689"/>
      <c r="H779" s="1674"/>
      <c r="I779" s="1675"/>
      <c r="J779" s="1675"/>
      <c r="K779" s="1675"/>
      <c r="L779" s="1675"/>
      <c r="M779" s="1676"/>
      <c r="N779" s="1676"/>
      <c r="O779" s="1676"/>
      <c r="P779" s="1675"/>
      <c r="Q779" s="1675"/>
      <c r="R779" s="1675"/>
      <c r="S779" s="1675"/>
      <c r="T779" s="1675"/>
      <c r="U779" s="1675"/>
      <c r="V779" s="1675"/>
      <c r="W779" s="1675"/>
      <c r="X779" s="1675"/>
      <c r="Y779" s="1675"/>
      <c r="Z779" s="1675"/>
      <c r="AA779" s="1675"/>
    </row>
    <row r="780" spans="1:27" ht="13.5" customHeight="1" x14ac:dyDescent="0.3">
      <c r="A780" s="1675"/>
      <c r="B780" s="1675"/>
      <c r="C780" s="1678"/>
      <c r="D780" s="1771"/>
      <c r="E780" s="1771"/>
      <c r="F780" s="1771"/>
      <c r="G780" s="1689"/>
      <c r="H780" s="1674"/>
      <c r="I780" s="1675"/>
      <c r="J780" s="1675"/>
      <c r="K780" s="1675"/>
      <c r="L780" s="1675"/>
      <c r="M780" s="1676"/>
      <c r="N780" s="1676"/>
      <c r="O780" s="1676"/>
      <c r="P780" s="1675"/>
      <c r="Q780" s="1675"/>
      <c r="R780" s="1675"/>
      <c r="S780" s="1675"/>
      <c r="T780" s="1675"/>
      <c r="U780" s="1675"/>
      <c r="V780" s="1675"/>
      <c r="W780" s="1675"/>
      <c r="X780" s="1675"/>
      <c r="Y780" s="1675"/>
      <c r="Z780" s="1675"/>
      <c r="AA780" s="1675"/>
    </row>
    <row r="781" spans="1:27" ht="13.5" customHeight="1" x14ac:dyDescent="0.3">
      <c r="A781" s="1675"/>
      <c r="B781" s="1675"/>
      <c r="C781" s="1678"/>
      <c r="D781" s="1771"/>
      <c r="E781" s="1771"/>
      <c r="F781" s="1771"/>
      <c r="G781" s="1689"/>
      <c r="H781" s="1674"/>
      <c r="I781" s="1675"/>
      <c r="J781" s="1675"/>
      <c r="K781" s="1675"/>
      <c r="L781" s="1675"/>
      <c r="M781" s="1676"/>
      <c r="N781" s="1676"/>
      <c r="O781" s="1676"/>
      <c r="P781" s="1675"/>
      <c r="Q781" s="1675"/>
      <c r="R781" s="1675"/>
      <c r="S781" s="1675"/>
      <c r="T781" s="1675"/>
      <c r="U781" s="1675"/>
      <c r="V781" s="1675"/>
      <c r="W781" s="1675"/>
      <c r="X781" s="1675"/>
      <c r="Y781" s="1675"/>
      <c r="Z781" s="1675"/>
      <c r="AA781" s="1675"/>
    </row>
    <row r="782" spans="1:27" ht="13.5" customHeight="1" x14ac:dyDescent="0.3">
      <c r="A782" s="1675"/>
      <c r="B782" s="1675"/>
      <c r="C782" s="1678"/>
      <c r="D782" s="1771"/>
      <c r="E782" s="1771"/>
      <c r="F782" s="1771"/>
      <c r="G782" s="1689"/>
      <c r="H782" s="1674"/>
      <c r="I782" s="1675"/>
      <c r="J782" s="1675"/>
      <c r="K782" s="1675"/>
      <c r="L782" s="1675"/>
      <c r="M782" s="1676"/>
      <c r="N782" s="1676"/>
      <c r="O782" s="1676"/>
      <c r="P782" s="1675"/>
      <c r="Q782" s="1675"/>
      <c r="R782" s="1675"/>
      <c r="S782" s="1675"/>
      <c r="T782" s="1675"/>
      <c r="U782" s="1675"/>
      <c r="V782" s="1675"/>
      <c r="W782" s="1675"/>
      <c r="X782" s="1675"/>
      <c r="Y782" s="1675"/>
      <c r="Z782" s="1675"/>
      <c r="AA782" s="1675"/>
    </row>
    <row r="783" spans="1:27" ht="13.5" customHeight="1" x14ac:dyDescent="0.3">
      <c r="A783" s="1675"/>
      <c r="B783" s="1675"/>
      <c r="C783" s="1678"/>
      <c r="D783" s="1771"/>
      <c r="E783" s="1771"/>
      <c r="F783" s="1771"/>
      <c r="G783" s="1689"/>
      <c r="H783" s="1674"/>
      <c r="I783" s="1675"/>
      <c r="J783" s="1675"/>
      <c r="K783" s="1675"/>
      <c r="L783" s="1675"/>
      <c r="M783" s="1676"/>
      <c r="N783" s="1676"/>
      <c r="O783" s="1676"/>
      <c r="P783" s="1675"/>
      <c r="Q783" s="1675"/>
      <c r="R783" s="1675"/>
      <c r="S783" s="1675"/>
      <c r="T783" s="1675"/>
      <c r="U783" s="1675"/>
      <c r="V783" s="1675"/>
      <c r="W783" s="1675"/>
      <c r="X783" s="1675"/>
      <c r="Y783" s="1675"/>
      <c r="Z783" s="1675"/>
      <c r="AA783" s="1675"/>
    </row>
    <row r="784" spans="1:27" ht="13.5" customHeight="1" x14ac:dyDescent="0.3">
      <c r="A784" s="1675"/>
      <c r="B784" s="1675"/>
      <c r="C784" s="1678"/>
      <c r="D784" s="1771"/>
      <c r="E784" s="1771"/>
      <c r="F784" s="1771"/>
      <c r="G784" s="1689"/>
      <c r="H784" s="1674"/>
      <c r="I784" s="1675"/>
      <c r="J784" s="1675"/>
      <c r="K784" s="1675"/>
      <c r="L784" s="1675"/>
      <c r="M784" s="1676"/>
      <c r="N784" s="1676"/>
      <c r="O784" s="1676"/>
      <c r="P784" s="1675"/>
      <c r="Q784" s="1675"/>
      <c r="R784" s="1675"/>
      <c r="S784" s="1675"/>
      <c r="T784" s="1675"/>
      <c r="U784" s="1675"/>
      <c r="V784" s="1675"/>
      <c r="W784" s="1675"/>
      <c r="X784" s="1675"/>
      <c r="Y784" s="1675"/>
      <c r="Z784" s="1675"/>
      <c r="AA784" s="1675"/>
    </row>
    <row r="785" spans="1:27" ht="13.5" customHeight="1" x14ac:dyDescent="0.3">
      <c r="A785" s="1675"/>
      <c r="B785" s="1675"/>
      <c r="C785" s="1678"/>
      <c r="D785" s="1771"/>
      <c r="E785" s="1771"/>
      <c r="F785" s="1771"/>
      <c r="G785" s="1689"/>
      <c r="H785" s="1674"/>
      <c r="I785" s="1675"/>
      <c r="J785" s="1675"/>
      <c r="K785" s="1675"/>
      <c r="L785" s="1675"/>
      <c r="M785" s="1676"/>
      <c r="N785" s="1676"/>
      <c r="O785" s="1676"/>
      <c r="P785" s="1675"/>
      <c r="Q785" s="1675"/>
      <c r="R785" s="1675"/>
      <c r="S785" s="1675"/>
      <c r="T785" s="1675"/>
      <c r="U785" s="1675"/>
      <c r="V785" s="1675"/>
      <c r="W785" s="1675"/>
      <c r="X785" s="1675"/>
      <c r="Y785" s="1675"/>
      <c r="Z785" s="1675"/>
      <c r="AA785" s="1675"/>
    </row>
    <row r="786" spans="1:27" ht="13.5" customHeight="1" x14ac:dyDescent="0.3">
      <c r="A786" s="1675"/>
      <c r="B786" s="1675"/>
      <c r="C786" s="1678"/>
      <c r="D786" s="1771"/>
      <c r="E786" s="1771"/>
      <c r="F786" s="1771"/>
      <c r="G786" s="1689"/>
      <c r="H786" s="1674"/>
      <c r="I786" s="1675"/>
      <c r="J786" s="1675"/>
      <c r="K786" s="1675"/>
      <c r="L786" s="1675"/>
      <c r="M786" s="1676"/>
      <c r="N786" s="1676"/>
      <c r="O786" s="1676"/>
      <c r="P786" s="1675"/>
      <c r="Q786" s="1675"/>
      <c r="R786" s="1675"/>
      <c r="S786" s="1675"/>
      <c r="T786" s="1675"/>
      <c r="U786" s="1675"/>
      <c r="V786" s="1675"/>
      <c r="W786" s="1675"/>
      <c r="X786" s="1675"/>
      <c r="Y786" s="1675"/>
      <c r="Z786" s="1675"/>
      <c r="AA786" s="1675"/>
    </row>
    <row r="787" spans="1:27" ht="13.5" customHeight="1" x14ac:dyDescent="0.3">
      <c r="A787" s="1675"/>
      <c r="B787" s="1675"/>
      <c r="C787" s="1678"/>
      <c r="D787" s="1771"/>
      <c r="E787" s="1771"/>
      <c r="F787" s="1771"/>
      <c r="G787" s="1689"/>
      <c r="H787" s="1674"/>
      <c r="I787" s="1675"/>
      <c r="J787" s="1675"/>
      <c r="K787" s="1675"/>
      <c r="L787" s="1675"/>
      <c r="M787" s="1676"/>
      <c r="N787" s="1676"/>
      <c r="O787" s="1676"/>
      <c r="P787" s="1675"/>
      <c r="Q787" s="1675"/>
      <c r="R787" s="1675"/>
      <c r="S787" s="1675"/>
      <c r="T787" s="1675"/>
      <c r="U787" s="1675"/>
      <c r="V787" s="1675"/>
      <c r="W787" s="1675"/>
      <c r="X787" s="1675"/>
      <c r="Y787" s="1675"/>
      <c r="Z787" s="1675"/>
      <c r="AA787" s="1675"/>
    </row>
    <row r="788" spans="1:27" ht="13.5" customHeight="1" x14ac:dyDescent="0.3">
      <c r="A788" s="1675"/>
      <c r="B788" s="1675"/>
      <c r="C788" s="1678"/>
      <c r="D788" s="1771"/>
      <c r="E788" s="1771"/>
      <c r="F788" s="1771"/>
      <c r="G788" s="1689"/>
      <c r="H788" s="1674"/>
      <c r="I788" s="1675"/>
      <c r="J788" s="1675"/>
      <c r="K788" s="1675"/>
      <c r="L788" s="1675"/>
      <c r="M788" s="1676"/>
      <c r="N788" s="1676"/>
      <c r="O788" s="1676"/>
      <c r="P788" s="1675"/>
      <c r="Q788" s="1675"/>
      <c r="R788" s="1675"/>
      <c r="S788" s="1675"/>
      <c r="T788" s="1675"/>
      <c r="U788" s="1675"/>
      <c r="V788" s="1675"/>
      <c r="W788" s="1675"/>
      <c r="X788" s="1675"/>
      <c r="Y788" s="1675"/>
      <c r="Z788" s="1675"/>
      <c r="AA788" s="1675"/>
    </row>
    <row r="789" spans="1:27" ht="13.5" customHeight="1" x14ac:dyDescent="0.3">
      <c r="A789" s="1675"/>
      <c r="B789" s="1675"/>
      <c r="C789" s="1678"/>
      <c r="D789" s="1771"/>
      <c r="E789" s="1771"/>
      <c r="F789" s="1771"/>
      <c r="G789" s="1689"/>
      <c r="H789" s="1674"/>
      <c r="I789" s="1675"/>
      <c r="J789" s="1675"/>
      <c r="K789" s="1675"/>
      <c r="L789" s="1675"/>
      <c r="M789" s="1676"/>
      <c r="N789" s="1676"/>
      <c r="O789" s="1676"/>
      <c r="P789" s="1675"/>
      <c r="Q789" s="1675"/>
      <c r="R789" s="1675"/>
      <c r="S789" s="1675"/>
      <c r="T789" s="1675"/>
      <c r="U789" s="1675"/>
      <c r="V789" s="1675"/>
      <c r="W789" s="1675"/>
      <c r="X789" s="1675"/>
      <c r="Y789" s="1675"/>
      <c r="Z789" s="1675"/>
      <c r="AA789" s="1675"/>
    </row>
    <row r="790" spans="1:27" ht="13.5" customHeight="1" x14ac:dyDescent="0.3">
      <c r="A790" s="1675"/>
      <c r="B790" s="1675"/>
      <c r="C790" s="1678"/>
      <c r="D790" s="1771"/>
      <c r="E790" s="1771"/>
      <c r="F790" s="1771"/>
      <c r="G790" s="1689"/>
      <c r="H790" s="1674"/>
      <c r="I790" s="1675"/>
      <c r="J790" s="1675"/>
      <c r="K790" s="1675"/>
      <c r="L790" s="1675"/>
      <c r="M790" s="1676"/>
      <c r="N790" s="1676"/>
      <c r="O790" s="1676"/>
      <c r="P790" s="1675"/>
      <c r="Q790" s="1675"/>
      <c r="R790" s="1675"/>
      <c r="S790" s="1675"/>
      <c r="T790" s="1675"/>
      <c r="U790" s="1675"/>
      <c r="V790" s="1675"/>
      <c r="W790" s="1675"/>
      <c r="X790" s="1675"/>
      <c r="Y790" s="1675"/>
      <c r="Z790" s="1675"/>
      <c r="AA790" s="1675"/>
    </row>
    <row r="791" spans="1:27" ht="13.5" customHeight="1" x14ac:dyDescent="0.3">
      <c r="A791" s="1675"/>
      <c r="B791" s="1675"/>
      <c r="C791" s="1678"/>
      <c r="D791" s="1771"/>
      <c r="E791" s="1771"/>
      <c r="F791" s="1771"/>
      <c r="G791" s="1689"/>
      <c r="H791" s="1674"/>
      <c r="I791" s="1675"/>
      <c r="J791" s="1675"/>
      <c r="K791" s="1675"/>
      <c r="L791" s="1675"/>
      <c r="M791" s="1676"/>
      <c r="N791" s="1676"/>
      <c r="O791" s="1676"/>
      <c r="P791" s="1675"/>
      <c r="Q791" s="1675"/>
      <c r="R791" s="1675"/>
      <c r="S791" s="1675"/>
      <c r="T791" s="1675"/>
      <c r="U791" s="1675"/>
      <c r="V791" s="1675"/>
      <c r="W791" s="1675"/>
      <c r="X791" s="1675"/>
      <c r="Y791" s="1675"/>
      <c r="Z791" s="1675"/>
      <c r="AA791" s="1675"/>
    </row>
    <row r="792" spans="1:27" ht="13.5" customHeight="1" x14ac:dyDescent="0.3">
      <c r="A792" s="1675"/>
      <c r="B792" s="1675"/>
      <c r="C792" s="1678"/>
      <c r="D792" s="1771"/>
      <c r="E792" s="1771"/>
      <c r="F792" s="1771"/>
      <c r="G792" s="1689"/>
      <c r="H792" s="1674"/>
      <c r="I792" s="1675"/>
      <c r="J792" s="1675"/>
      <c r="K792" s="1675"/>
      <c r="L792" s="1675"/>
      <c r="M792" s="1676"/>
      <c r="N792" s="1676"/>
      <c r="O792" s="1676"/>
      <c r="P792" s="1675"/>
      <c r="Q792" s="1675"/>
      <c r="R792" s="1675"/>
      <c r="S792" s="1675"/>
      <c r="T792" s="1675"/>
      <c r="U792" s="1675"/>
      <c r="V792" s="1675"/>
      <c r="W792" s="1675"/>
      <c r="X792" s="1675"/>
      <c r="Y792" s="1675"/>
      <c r="Z792" s="1675"/>
      <c r="AA792" s="1675"/>
    </row>
    <row r="793" spans="1:27" ht="13.5" customHeight="1" x14ac:dyDescent="0.3">
      <c r="A793" s="1675"/>
      <c r="B793" s="1675"/>
      <c r="C793" s="1678"/>
      <c r="D793" s="1771"/>
      <c r="E793" s="1771"/>
      <c r="F793" s="1771"/>
      <c r="G793" s="1689"/>
      <c r="H793" s="1674"/>
      <c r="I793" s="1675"/>
      <c r="J793" s="1675"/>
      <c r="K793" s="1675"/>
      <c r="L793" s="1675"/>
      <c r="M793" s="1676"/>
      <c r="N793" s="1676"/>
      <c r="O793" s="1676"/>
      <c r="P793" s="1675"/>
      <c r="Q793" s="1675"/>
      <c r="R793" s="1675"/>
      <c r="S793" s="1675"/>
      <c r="T793" s="1675"/>
      <c r="U793" s="1675"/>
      <c r="V793" s="1675"/>
      <c r="W793" s="1675"/>
      <c r="X793" s="1675"/>
      <c r="Y793" s="1675"/>
      <c r="Z793" s="1675"/>
      <c r="AA793" s="1675"/>
    </row>
    <row r="794" spans="1:27" ht="13.5" customHeight="1" x14ac:dyDescent="0.3">
      <c r="A794" s="1675"/>
      <c r="B794" s="1675"/>
      <c r="C794" s="1678"/>
      <c r="D794" s="1771"/>
      <c r="E794" s="1771"/>
      <c r="F794" s="1771"/>
      <c r="G794" s="1689"/>
      <c r="H794" s="1674"/>
      <c r="I794" s="1675"/>
      <c r="J794" s="1675"/>
      <c r="K794" s="1675"/>
      <c r="L794" s="1675"/>
      <c r="M794" s="1676"/>
      <c r="N794" s="1676"/>
      <c r="O794" s="1676"/>
      <c r="P794" s="1675"/>
      <c r="Q794" s="1675"/>
      <c r="R794" s="1675"/>
      <c r="S794" s="1675"/>
      <c r="T794" s="1675"/>
      <c r="U794" s="1675"/>
      <c r="V794" s="1675"/>
      <c r="W794" s="1675"/>
      <c r="X794" s="1675"/>
      <c r="Y794" s="1675"/>
      <c r="Z794" s="1675"/>
      <c r="AA794" s="1675"/>
    </row>
    <row r="795" spans="1:27" ht="13.5" customHeight="1" x14ac:dyDescent="0.3">
      <c r="A795" s="1675"/>
      <c r="B795" s="1675"/>
      <c r="C795" s="1678"/>
      <c r="D795" s="1771"/>
      <c r="E795" s="1771"/>
      <c r="F795" s="1771"/>
      <c r="G795" s="1689"/>
      <c r="H795" s="1674"/>
      <c r="I795" s="1675"/>
      <c r="J795" s="1675"/>
      <c r="K795" s="1675"/>
      <c r="L795" s="1675"/>
      <c r="M795" s="1676"/>
      <c r="N795" s="1676"/>
      <c r="O795" s="1676"/>
      <c r="P795" s="1675"/>
      <c r="Q795" s="1675"/>
      <c r="R795" s="1675"/>
      <c r="S795" s="1675"/>
      <c r="T795" s="1675"/>
      <c r="U795" s="1675"/>
      <c r="V795" s="1675"/>
      <c r="W795" s="1675"/>
      <c r="X795" s="1675"/>
      <c r="Y795" s="1675"/>
      <c r="Z795" s="1675"/>
      <c r="AA795" s="1675"/>
    </row>
    <row r="796" spans="1:27" ht="13.5" customHeight="1" x14ac:dyDescent="0.3">
      <c r="A796" s="1675"/>
      <c r="B796" s="1675"/>
      <c r="C796" s="1678"/>
      <c r="D796" s="1771"/>
      <c r="E796" s="1771"/>
      <c r="F796" s="1771"/>
      <c r="G796" s="1689"/>
      <c r="H796" s="1674"/>
      <c r="I796" s="1675"/>
      <c r="J796" s="1675"/>
      <c r="K796" s="1675"/>
      <c r="L796" s="1675"/>
      <c r="M796" s="1676"/>
      <c r="N796" s="1676"/>
      <c r="O796" s="1676"/>
      <c r="P796" s="1675"/>
      <c r="Q796" s="1675"/>
      <c r="R796" s="1675"/>
      <c r="S796" s="1675"/>
      <c r="T796" s="1675"/>
      <c r="U796" s="1675"/>
      <c r="V796" s="1675"/>
      <c r="W796" s="1675"/>
      <c r="X796" s="1675"/>
      <c r="Y796" s="1675"/>
      <c r="Z796" s="1675"/>
      <c r="AA796" s="1675"/>
    </row>
    <row r="797" spans="1:27" ht="13.5" customHeight="1" x14ac:dyDescent="0.3">
      <c r="A797" s="1675"/>
      <c r="B797" s="1675"/>
      <c r="C797" s="1678"/>
      <c r="D797" s="1771"/>
      <c r="E797" s="1771"/>
      <c r="F797" s="1771"/>
      <c r="G797" s="1689"/>
      <c r="H797" s="1674"/>
      <c r="I797" s="1675"/>
      <c r="J797" s="1675"/>
      <c r="K797" s="1675"/>
      <c r="L797" s="1675"/>
      <c r="M797" s="1676"/>
      <c r="N797" s="1676"/>
      <c r="O797" s="1676"/>
      <c r="P797" s="1675"/>
      <c r="Q797" s="1675"/>
      <c r="R797" s="1675"/>
      <c r="S797" s="1675"/>
      <c r="T797" s="1675"/>
      <c r="U797" s="1675"/>
      <c r="V797" s="1675"/>
      <c r="W797" s="1675"/>
      <c r="X797" s="1675"/>
      <c r="Y797" s="1675"/>
      <c r="Z797" s="1675"/>
      <c r="AA797" s="1675"/>
    </row>
    <row r="798" spans="1:27" ht="13.5" customHeight="1" x14ac:dyDescent="0.3">
      <c r="A798" s="1675"/>
      <c r="B798" s="1675"/>
      <c r="C798" s="1678"/>
      <c r="D798" s="1771"/>
      <c r="E798" s="1771"/>
      <c r="F798" s="1771"/>
      <c r="G798" s="1689"/>
      <c r="H798" s="1674"/>
      <c r="I798" s="1675"/>
      <c r="J798" s="1675"/>
      <c r="K798" s="1675"/>
      <c r="L798" s="1675"/>
      <c r="M798" s="1676"/>
      <c r="N798" s="1676"/>
      <c r="O798" s="1676"/>
      <c r="P798" s="1675"/>
      <c r="Q798" s="1675"/>
      <c r="R798" s="1675"/>
      <c r="S798" s="1675"/>
      <c r="T798" s="1675"/>
      <c r="U798" s="1675"/>
      <c r="V798" s="1675"/>
      <c r="W798" s="1675"/>
      <c r="X798" s="1675"/>
      <c r="Y798" s="1675"/>
      <c r="Z798" s="1675"/>
      <c r="AA798" s="1675"/>
    </row>
    <row r="799" spans="1:27" ht="13.5" customHeight="1" x14ac:dyDescent="0.3">
      <c r="A799" s="1675"/>
      <c r="B799" s="1675"/>
      <c r="C799" s="1678"/>
      <c r="D799" s="1771"/>
      <c r="E799" s="1771"/>
      <c r="F799" s="1771"/>
      <c r="G799" s="1689"/>
      <c r="H799" s="1674"/>
      <c r="I799" s="1675"/>
      <c r="J799" s="1675"/>
      <c r="K799" s="1675"/>
      <c r="L799" s="1675"/>
      <c r="M799" s="1676"/>
      <c r="N799" s="1676"/>
      <c r="O799" s="1676"/>
      <c r="P799" s="1675"/>
      <c r="Q799" s="1675"/>
      <c r="R799" s="1675"/>
      <c r="S799" s="1675"/>
      <c r="T799" s="1675"/>
      <c r="U799" s="1675"/>
      <c r="V799" s="1675"/>
      <c r="W799" s="1675"/>
      <c r="X799" s="1675"/>
      <c r="Y799" s="1675"/>
      <c r="Z799" s="1675"/>
      <c r="AA799" s="1675"/>
    </row>
    <row r="800" spans="1:27" ht="13.5" customHeight="1" x14ac:dyDescent="0.3">
      <c r="A800" s="1675"/>
      <c r="B800" s="1675"/>
      <c r="C800" s="1678"/>
      <c r="D800" s="1771"/>
      <c r="E800" s="1771"/>
      <c r="F800" s="1771"/>
      <c r="G800" s="1689"/>
      <c r="H800" s="1674"/>
      <c r="I800" s="1675"/>
      <c r="J800" s="1675"/>
      <c r="K800" s="1675"/>
      <c r="L800" s="1675"/>
      <c r="M800" s="1676"/>
      <c r="N800" s="1676"/>
      <c r="O800" s="1676"/>
      <c r="P800" s="1675"/>
      <c r="Q800" s="1675"/>
      <c r="R800" s="1675"/>
      <c r="S800" s="1675"/>
      <c r="T800" s="1675"/>
      <c r="U800" s="1675"/>
      <c r="V800" s="1675"/>
      <c r="W800" s="1675"/>
      <c r="X800" s="1675"/>
      <c r="Y800" s="1675"/>
      <c r="Z800" s="1675"/>
      <c r="AA800" s="1675"/>
    </row>
    <row r="801" spans="1:27" ht="13.5" customHeight="1" x14ac:dyDescent="0.3">
      <c r="A801" s="1675"/>
      <c r="B801" s="1675"/>
      <c r="C801" s="1678"/>
      <c r="D801" s="1771"/>
      <c r="E801" s="1771"/>
      <c r="F801" s="1771"/>
      <c r="G801" s="1689"/>
      <c r="H801" s="1674"/>
      <c r="I801" s="1675"/>
      <c r="J801" s="1675"/>
      <c r="K801" s="1675"/>
      <c r="L801" s="1675"/>
      <c r="M801" s="1676"/>
      <c r="N801" s="1676"/>
      <c r="O801" s="1676"/>
      <c r="P801" s="1675"/>
      <c r="Q801" s="1675"/>
      <c r="R801" s="1675"/>
      <c r="S801" s="1675"/>
      <c r="T801" s="1675"/>
      <c r="U801" s="1675"/>
      <c r="V801" s="1675"/>
      <c r="W801" s="1675"/>
      <c r="X801" s="1675"/>
      <c r="Y801" s="1675"/>
      <c r="Z801" s="1675"/>
      <c r="AA801" s="1675"/>
    </row>
    <row r="802" spans="1:27" ht="13.5" customHeight="1" x14ac:dyDescent="0.3">
      <c r="A802" s="1675"/>
      <c r="B802" s="1675"/>
      <c r="C802" s="1678"/>
      <c r="D802" s="1771"/>
      <c r="E802" s="1771"/>
      <c r="F802" s="1771"/>
      <c r="G802" s="1689"/>
      <c r="H802" s="1674"/>
      <c r="I802" s="1675"/>
      <c r="J802" s="1675"/>
      <c r="K802" s="1675"/>
      <c r="L802" s="1675"/>
      <c r="M802" s="1676"/>
      <c r="N802" s="1676"/>
      <c r="O802" s="1676"/>
      <c r="P802" s="1675"/>
      <c r="Q802" s="1675"/>
      <c r="R802" s="1675"/>
      <c r="S802" s="1675"/>
      <c r="T802" s="1675"/>
      <c r="U802" s="1675"/>
      <c r="V802" s="1675"/>
      <c r="W802" s="1675"/>
      <c r="X802" s="1675"/>
      <c r="Y802" s="1675"/>
      <c r="Z802" s="1675"/>
      <c r="AA802" s="1675"/>
    </row>
    <row r="803" spans="1:27" ht="13.5" customHeight="1" x14ac:dyDescent="0.3">
      <c r="A803" s="1675"/>
      <c r="B803" s="1675"/>
      <c r="C803" s="1678"/>
      <c r="D803" s="1771"/>
      <c r="E803" s="1771"/>
      <c r="F803" s="1771"/>
      <c r="G803" s="1689"/>
      <c r="H803" s="1674"/>
      <c r="I803" s="1675"/>
      <c r="J803" s="1675"/>
      <c r="K803" s="1675"/>
      <c r="L803" s="1675"/>
      <c r="M803" s="1676"/>
      <c r="N803" s="1676"/>
      <c r="O803" s="1676"/>
      <c r="P803" s="1675"/>
      <c r="Q803" s="1675"/>
      <c r="R803" s="1675"/>
      <c r="S803" s="1675"/>
      <c r="T803" s="1675"/>
      <c r="U803" s="1675"/>
      <c r="V803" s="1675"/>
      <c r="W803" s="1675"/>
      <c r="X803" s="1675"/>
      <c r="Y803" s="1675"/>
      <c r="Z803" s="1675"/>
      <c r="AA803" s="1675"/>
    </row>
    <row r="804" spans="1:27" ht="13.5" customHeight="1" x14ac:dyDescent="0.3">
      <c r="A804" s="1675"/>
      <c r="B804" s="1675"/>
      <c r="C804" s="1678"/>
      <c r="D804" s="1771"/>
      <c r="E804" s="1771"/>
      <c r="F804" s="1771"/>
      <c r="G804" s="1689"/>
      <c r="H804" s="1674"/>
      <c r="I804" s="1675"/>
      <c r="J804" s="1675"/>
      <c r="K804" s="1675"/>
      <c r="L804" s="1675"/>
      <c r="M804" s="1676"/>
      <c r="N804" s="1676"/>
      <c r="O804" s="1676"/>
      <c r="P804" s="1675"/>
      <c r="Q804" s="1675"/>
      <c r="R804" s="1675"/>
      <c r="S804" s="1675"/>
      <c r="T804" s="1675"/>
      <c r="U804" s="1675"/>
      <c r="V804" s="1675"/>
      <c r="W804" s="1675"/>
      <c r="X804" s="1675"/>
      <c r="Y804" s="1675"/>
      <c r="Z804" s="1675"/>
      <c r="AA804" s="1675"/>
    </row>
    <row r="805" spans="1:27" ht="13.5" customHeight="1" x14ac:dyDescent="0.3">
      <c r="A805" s="1675"/>
      <c r="B805" s="1675"/>
      <c r="C805" s="1678"/>
      <c r="D805" s="1771"/>
      <c r="E805" s="1771"/>
      <c r="F805" s="1771"/>
      <c r="G805" s="1689"/>
      <c r="H805" s="1674"/>
      <c r="I805" s="1675"/>
      <c r="J805" s="1675"/>
      <c r="K805" s="1675"/>
      <c r="L805" s="1675"/>
      <c r="M805" s="1676"/>
      <c r="N805" s="1676"/>
      <c r="O805" s="1676"/>
      <c r="P805" s="1675"/>
      <c r="Q805" s="1675"/>
      <c r="R805" s="1675"/>
      <c r="S805" s="1675"/>
      <c r="T805" s="1675"/>
      <c r="U805" s="1675"/>
      <c r="V805" s="1675"/>
      <c r="W805" s="1675"/>
      <c r="X805" s="1675"/>
      <c r="Y805" s="1675"/>
      <c r="Z805" s="1675"/>
      <c r="AA805" s="1675"/>
    </row>
    <row r="806" spans="1:27" ht="13.5" customHeight="1" x14ac:dyDescent="0.3">
      <c r="A806" s="1675"/>
      <c r="B806" s="1675"/>
      <c r="C806" s="1678"/>
      <c r="D806" s="1771"/>
      <c r="E806" s="1771"/>
      <c r="F806" s="1771"/>
      <c r="G806" s="1689"/>
      <c r="H806" s="1674"/>
      <c r="I806" s="1675"/>
      <c r="J806" s="1675"/>
      <c r="K806" s="1675"/>
      <c r="L806" s="1675"/>
      <c r="M806" s="1676"/>
      <c r="N806" s="1676"/>
      <c r="O806" s="1676"/>
      <c r="P806" s="1675"/>
      <c r="Q806" s="1675"/>
      <c r="R806" s="1675"/>
      <c r="S806" s="1675"/>
      <c r="T806" s="1675"/>
      <c r="U806" s="1675"/>
      <c r="V806" s="1675"/>
      <c r="W806" s="1675"/>
      <c r="X806" s="1675"/>
      <c r="Y806" s="1675"/>
      <c r="Z806" s="1675"/>
      <c r="AA806" s="1675"/>
    </row>
    <row r="807" spans="1:27" ht="13.5" customHeight="1" x14ac:dyDescent="0.3">
      <c r="A807" s="1675"/>
      <c r="B807" s="1675"/>
      <c r="C807" s="1678"/>
      <c r="D807" s="1771"/>
      <c r="E807" s="1771"/>
      <c r="F807" s="1771"/>
      <c r="G807" s="1689"/>
      <c r="H807" s="1674"/>
      <c r="I807" s="1675"/>
      <c r="J807" s="1675"/>
      <c r="K807" s="1675"/>
      <c r="L807" s="1675"/>
      <c r="M807" s="1676"/>
      <c r="N807" s="1676"/>
      <c r="O807" s="1676"/>
      <c r="P807" s="1675"/>
      <c r="Q807" s="1675"/>
      <c r="R807" s="1675"/>
      <c r="S807" s="1675"/>
      <c r="T807" s="1675"/>
      <c r="U807" s="1675"/>
      <c r="V807" s="1675"/>
      <c r="W807" s="1675"/>
      <c r="X807" s="1675"/>
      <c r="Y807" s="1675"/>
      <c r="Z807" s="1675"/>
      <c r="AA807" s="1675"/>
    </row>
    <row r="808" spans="1:27" ht="13.5" customHeight="1" x14ac:dyDescent="0.3">
      <c r="A808" s="1675"/>
      <c r="B808" s="1675"/>
      <c r="C808" s="1678"/>
      <c r="D808" s="1771"/>
      <c r="E808" s="1771"/>
      <c r="F808" s="1771"/>
      <c r="G808" s="1689"/>
      <c r="H808" s="1674"/>
      <c r="I808" s="1675"/>
      <c r="J808" s="1675"/>
      <c r="K808" s="1675"/>
      <c r="L808" s="1675"/>
      <c r="M808" s="1676"/>
      <c r="N808" s="1676"/>
      <c r="O808" s="1676"/>
      <c r="P808" s="1675"/>
      <c r="Q808" s="1675"/>
      <c r="R808" s="1675"/>
      <c r="S808" s="1675"/>
      <c r="T808" s="1675"/>
      <c r="U808" s="1675"/>
      <c r="V808" s="1675"/>
      <c r="W808" s="1675"/>
      <c r="X808" s="1675"/>
      <c r="Y808" s="1675"/>
      <c r="Z808" s="1675"/>
      <c r="AA808" s="1675"/>
    </row>
    <row r="809" spans="1:27" ht="13.5" customHeight="1" x14ac:dyDescent="0.3">
      <c r="A809" s="1675"/>
      <c r="B809" s="1675"/>
      <c r="C809" s="1678"/>
      <c r="D809" s="1771"/>
      <c r="E809" s="1771"/>
      <c r="F809" s="1771"/>
      <c r="G809" s="1689"/>
      <c r="H809" s="1674"/>
      <c r="I809" s="1675"/>
      <c r="J809" s="1675"/>
      <c r="K809" s="1675"/>
      <c r="L809" s="1675"/>
      <c r="M809" s="1676"/>
      <c r="N809" s="1676"/>
      <c r="O809" s="1676"/>
      <c r="P809" s="1675"/>
      <c r="Q809" s="1675"/>
      <c r="R809" s="1675"/>
      <c r="S809" s="1675"/>
      <c r="T809" s="1675"/>
      <c r="U809" s="1675"/>
      <c r="V809" s="1675"/>
      <c r="W809" s="1675"/>
      <c r="X809" s="1675"/>
      <c r="Y809" s="1675"/>
      <c r="Z809" s="1675"/>
      <c r="AA809" s="1675"/>
    </row>
    <row r="810" spans="1:27" ht="13.5" customHeight="1" x14ac:dyDescent="0.3">
      <c r="A810" s="1675"/>
      <c r="B810" s="1675"/>
      <c r="C810" s="1678"/>
      <c r="D810" s="1771"/>
      <c r="E810" s="1771"/>
      <c r="F810" s="1771"/>
      <c r="G810" s="1689"/>
      <c r="H810" s="1674"/>
      <c r="I810" s="1675"/>
      <c r="J810" s="1675"/>
      <c r="K810" s="1675"/>
      <c r="L810" s="1675"/>
      <c r="M810" s="1676"/>
      <c r="N810" s="1676"/>
      <c r="O810" s="1676"/>
      <c r="P810" s="1675"/>
      <c r="Q810" s="1675"/>
      <c r="R810" s="1675"/>
      <c r="S810" s="1675"/>
      <c r="T810" s="1675"/>
      <c r="U810" s="1675"/>
      <c r="V810" s="1675"/>
      <c r="W810" s="1675"/>
      <c r="X810" s="1675"/>
      <c r="Y810" s="1675"/>
      <c r="Z810" s="1675"/>
      <c r="AA810" s="1675"/>
    </row>
    <row r="811" spans="1:27" ht="13.5" customHeight="1" x14ac:dyDescent="0.3">
      <c r="A811" s="1675"/>
      <c r="B811" s="1675"/>
      <c r="C811" s="1678"/>
      <c r="D811" s="1771"/>
      <c r="E811" s="1771"/>
      <c r="F811" s="1771"/>
      <c r="G811" s="1689"/>
      <c r="H811" s="1674"/>
      <c r="I811" s="1675"/>
      <c r="J811" s="1675"/>
      <c r="K811" s="1675"/>
      <c r="L811" s="1675"/>
      <c r="M811" s="1676"/>
      <c r="N811" s="1676"/>
      <c r="O811" s="1676"/>
      <c r="P811" s="1675"/>
      <c r="Q811" s="1675"/>
      <c r="R811" s="1675"/>
      <c r="S811" s="1675"/>
      <c r="T811" s="1675"/>
      <c r="U811" s="1675"/>
      <c r="V811" s="1675"/>
      <c r="W811" s="1675"/>
      <c r="X811" s="1675"/>
      <c r="Y811" s="1675"/>
      <c r="Z811" s="1675"/>
      <c r="AA811" s="1675"/>
    </row>
    <row r="812" spans="1:27" ht="13.5" customHeight="1" x14ac:dyDescent="0.3">
      <c r="A812" s="1675"/>
      <c r="B812" s="1675"/>
      <c r="C812" s="1678"/>
      <c r="D812" s="1771"/>
      <c r="E812" s="1771"/>
      <c r="F812" s="1771"/>
      <c r="G812" s="1689"/>
      <c r="H812" s="1674"/>
      <c r="I812" s="1675"/>
      <c r="J812" s="1675"/>
      <c r="K812" s="1675"/>
      <c r="L812" s="1675"/>
      <c r="M812" s="1676"/>
      <c r="N812" s="1676"/>
      <c r="O812" s="1676"/>
      <c r="P812" s="1675"/>
      <c r="Q812" s="1675"/>
      <c r="R812" s="1675"/>
      <c r="S812" s="1675"/>
      <c r="T812" s="1675"/>
      <c r="U812" s="1675"/>
      <c r="V812" s="1675"/>
      <c r="W812" s="1675"/>
      <c r="X812" s="1675"/>
      <c r="Y812" s="1675"/>
      <c r="Z812" s="1675"/>
      <c r="AA812" s="1675"/>
    </row>
    <row r="813" spans="1:27" ht="13.5" customHeight="1" x14ac:dyDescent="0.3">
      <c r="A813" s="1675"/>
      <c r="B813" s="1675"/>
      <c r="C813" s="1678"/>
      <c r="D813" s="1771"/>
      <c r="E813" s="1771"/>
      <c r="F813" s="1771"/>
      <c r="G813" s="1689"/>
      <c r="H813" s="1674"/>
      <c r="I813" s="1675"/>
      <c r="J813" s="1675"/>
      <c r="K813" s="1675"/>
      <c r="L813" s="1675"/>
      <c r="M813" s="1676"/>
      <c r="N813" s="1676"/>
      <c r="O813" s="1676"/>
      <c r="P813" s="1675"/>
      <c r="Q813" s="1675"/>
      <c r="R813" s="1675"/>
      <c r="S813" s="1675"/>
      <c r="T813" s="1675"/>
      <c r="U813" s="1675"/>
      <c r="V813" s="1675"/>
      <c r="W813" s="1675"/>
      <c r="X813" s="1675"/>
      <c r="Y813" s="1675"/>
      <c r="Z813" s="1675"/>
      <c r="AA813" s="1675"/>
    </row>
    <row r="814" spans="1:27" ht="13.5" customHeight="1" x14ac:dyDescent="0.3">
      <c r="A814" s="1675"/>
      <c r="B814" s="1675"/>
      <c r="C814" s="1678"/>
      <c r="D814" s="1771"/>
      <c r="E814" s="1771"/>
      <c r="F814" s="1771"/>
      <c r="G814" s="1689"/>
      <c r="H814" s="1674"/>
      <c r="I814" s="1675"/>
      <c r="J814" s="1675"/>
      <c r="K814" s="1675"/>
      <c r="L814" s="1675"/>
      <c r="M814" s="1676"/>
      <c r="N814" s="1676"/>
      <c r="O814" s="1676"/>
      <c r="P814" s="1675"/>
      <c r="Q814" s="1675"/>
      <c r="R814" s="1675"/>
      <c r="S814" s="1675"/>
      <c r="T814" s="1675"/>
      <c r="U814" s="1675"/>
      <c r="V814" s="1675"/>
      <c r="W814" s="1675"/>
      <c r="X814" s="1675"/>
      <c r="Y814" s="1675"/>
      <c r="Z814" s="1675"/>
      <c r="AA814" s="1675"/>
    </row>
    <row r="815" spans="1:27" ht="13.5" customHeight="1" x14ac:dyDescent="0.3">
      <c r="A815" s="1675"/>
      <c r="B815" s="1675"/>
      <c r="C815" s="1678"/>
      <c r="D815" s="1771"/>
      <c r="E815" s="1771"/>
      <c r="F815" s="1771"/>
      <c r="G815" s="1689"/>
      <c r="H815" s="1674"/>
      <c r="I815" s="1675"/>
      <c r="J815" s="1675"/>
      <c r="K815" s="1675"/>
      <c r="L815" s="1675"/>
      <c r="M815" s="1676"/>
      <c r="N815" s="1676"/>
      <c r="O815" s="1676"/>
      <c r="P815" s="1675"/>
      <c r="Q815" s="1675"/>
      <c r="R815" s="1675"/>
      <c r="S815" s="1675"/>
      <c r="T815" s="1675"/>
      <c r="U815" s="1675"/>
      <c r="V815" s="1675"/>
      <c r="W815" s="1675"/>
      <c r="X815" s="1675"/>
      <c r="Y815" s="1675"/>
      <c r="Z815" s="1675"/>
      <c r="AA815" s="1675"/>
    </row>
    <row r="816" spans="1:27" ht="13.5" customHeight="1" x14ac:dyDescent="0.3">
      <c r="A816" s="1675"/>
      <c r="B816" s="1675"/>
      <c r="C816" s="1678"/>
      <c r="D816" s="1771"/>
      <c r="E816" s="1771"/>
      <c r="F816" s="1771"/>
      <c r="G816" s="1689"/>
      <c r="H816" s="1674"/>
      <c r="I816" s="1675"/>
      <c r="J816" s="1675"/>
      <c r="K816" s="1675"/>
      <c r="L816" s="1675"/>
      <c r="M816" s="1676"/>
      <c r="N816" s="1676"/>
      <c r="O816" s="1676"/>
      <c r="P816" s="1675"/>
      <c r="Q816" s="1675"/>
      <c r="R816" s="1675"/>
      <c r="S816" s="1675"/>
      <c r="T816" s="1675"/>
      <c r="U816" s="1675"/>
      <c r="V816" s="1675"/>
      <c r="W816" s="1675"/>
      <c r="X816" s="1675"/>
      <c r="Y816" s="1675"/>
      <c r="Z816" s="1675"/>
      <c r="AA816" s="1675"/>
    </row>
    <row r="817" spans="1:27" ht="13.5" customHeight="1" x14ac:dyDescent="0.3">
      <c r="A817" s="1675"/>
      <c r="B817" s="1675"/>
      <c r="C817" s="1678"/>
      <c r="D817" s="1771"/>
      <c r="E817" s="1771"/>
      <c r="F817" s="1771"/>
      <c r="G817" s="1689"/>
      <c r="H817" s="1674"/>
      <c r="I817" s="1675"/>
      <c r="J817" s="1675"/>
      <c r="K817" s="1675"/>
      <c r="L817" s="1675"/>
      <c r="M817" s="1676"/>
      <c r="N817" s="1676"/>
      <c r="O817" s="1676"/>
      <c r="P817" s="1675"/>
      <c r="Q817" s="1675"/>
      <c r="R817" s="1675"/>
      <c r="S817" s="1675"/>
      <c r="T817" s="1675"/>
      <c r="U817" s="1675"/>
      <c r="V817" s="1675"/>
      <c r="W817" s="1675"/>
      <c r="X817" s="1675"/>
      <c r="Y817" s="1675"/>
      <c r="Z817" s="1675"/>
      <c r="AA817" s="1675"/>
    </row>
    <row r="818" spans="1:27" ht="13.5" customHeight="1" x14ac:dyDescent="0.3">
      <c r="A818" s="1675"/>
      <c r="B818" s="1675"/>
      <c r="C818" s="1678"/>
      <c r="D818" s="1771"/>
      <c r="E818" s="1771"/>
      <c r="F818" s="1771"/>
      <c r="G818" s="1689"/>
      <c r="H818" s="1674"/>
      <c r="I818" s="1675"/>
      <c r="J818" s="1675"/>
      <c r="K818" s="1675"/>
      <c r="L818" s="1675"/>
      <c r="M818" s="1676"/>
      <c r="N818" s="1676"/>
      <c r="O818" s="1676"/>
      <c r="P818" s="1675"/>
      <c r="Q818" s="1675"/>
      <c r="R818" s="1675"/>
      <c r="S818" s="1675"/>
      <c r="T818" s="1675"/>
      <c r="U818" s="1675"/>
      <c r="V818" s="1675"/>
      <c r="W818" s="1675"/>
      <c r="X818" s="1675"/>
      <c r="Y818" s="1675"/>
      <c r="Z818" s="1675"/>
      <c r="AA818" s="1675"/>
    </row>
    <row r="819" spans="1:27" ht="13.5" customHeight="1" x14ac:dyDescent="0.3">
      <c r="A819" s="1675"/>
      <c r="B819" s="1675"/>
      <c r="C819" s="1678"/>
      <c r="D819" s="1771"/>
      <c r="E819" s="1771"/>
      <c r="F819" s="1771"/>
      <c r="G819" s="1689"/>
      <c r="H819" s="1674"/>
      <c r="I819" s="1675"/>
      <c r="J819" s="1675"/>
      <c r="K819" s="1675"/>
      <c r="L819" s="1675"/>
      <c r="M819" s="1676"/>
      <c r="N819" s="1676"/>
      <c r="O819" s="1676"/>
      <c r="P819" s="1675"/>
      <c r="Q819" s="1675"/>
      <c r="R819" s="1675"/>
      <c r="S819" s="1675"/>
      <c r="T819" s="1675"/>
      <c r="U819" s="1675"/>
      <c r="V819" s="1675"/>
      <c r="W819" s="1675"/>
      <c r="X819" s="1675"/>
      <c r="Y819" s="1675"/>
      <c r="Z819" s="1675"/>
      <c r="AA819" s="1675"/>
    </row>
    <row r="820" spans="1:27" ht="13.5" customHeight="1" x14ac:dyDescent="0.3">
      <c r="A820" s="1675"/>
      <c r="B820" s="1675"/>
      <c r="C820" s="1678"/>
      <c r="D820" s="1771"/>
      <c r="E820" s="1771"/>
      <c r="F820" s="1771"/>
      <c r="G820" s="1689"/>
      <c r="H820" s="1674"/>
      <c r="I820" s="1675"/>
      <c r="J820" s="1675"/>
      <c r="K820" s="1675"/>
      <c r="L820" s="1675"/>
      <c r="M820" s="1676"/>
      <c r="N820" s="1676"/>
      <c r="O820" s="1676"/>
      <c r="P820" s="1675"/>
      <c r="Q820" s="1675"/>
      <c r="R820" s="1675"/>
      <c r="S820" s="1675"/>
      <c r="T820" s="1675"/>
      <c r="U820" s="1675"/>
      <c r="V820" s="1675"/>
      <c r="W820" s="1675"/>
      <c r="X820" s="1675"/>
      <c r="Y820" s="1675"/>
      <c r="Z820" s="1675"/>
      <c r="AA820" s="1675"/>
    </row>
    <row r="821" spans="1:27" ht="13.5" customHeight="1" x14ac:dyDescent="0.3">
      <c r="A821" s="1675"/>
      <c r="B821" s="1675"/>
      <c r="C821" s="1678"/>
      <c r="D821" s="1771"/>
      <c r="E821" s="1771"/>
      <c r="F821" s="1771"/>
      <c r="G821" s="1689"/>
      <c r="H821" s="1674"/>
      <c r="I821" s="1675"/>
      <c r="J821" s="1675"/>
      <c r="K821" s="1675"/>
      <c r="L821" s="1675"/>
      <c r="M821" s="1676"/>
      <c r="N821" s="1676"/>
      <c r="O821" s="1676"/>
      <c r="P821" s="1675"/>
      <c r="Q821" s="1675"/>
      <c r="R821" s="1675"/>
      <c r="S821" s="1675"/>
      <c r="T821" s="1675"/>
      <c r="U821" s="1675"/>
      <c r="V821" s="1675"/>
      <c r="W821" s="1675"/>
      <c r="X821" s="1675"/>
      <c r="Y821" s="1675"/>
      <c r="Z821" s="1675"/>
      <c r="AA821" s="1675"/>
    </row>
    <row r="822" spans="1:27" ht="13.5" customHeight="1" x14ac:dyDescent="0.3">
      <c r="A822" s="1675"/>
      <c r="B822" s="1675"/>
      <c r="C822" s="1678"/>
      <c r="D822" s="1771"/>
      <c r="E822" s="1771"/>
      <c r="F822" s="1771"/>
      <c r="G822" s="1689"/>
      <c r="H822" s="1674"/>
      <c r="I822" s="1675"/>
      <c r="J822" s="1675"/>
      <c r="K822" s="1675"/>
      <c r="L822" s="1675"/>
      <c r="M822" s="1676"/>
      <c r="N822" s="1676"/>
      <c r="O822" s="1676"/>
      <c r="P822" s="1675"/>
      <c r="Q822" s="1675"/>
      <c r="R822" s="1675"/>
      <c r="S822" s="1675"/>
      <c r="T822" s="1675"/>
      <c r="U822" s="1675"/>
      <c r="V822" s="1675"/>
      <c r="W822" s="1675"/>
      <c r="X822" s="1675"/>
      <c r="Y822" s="1675"/>
      <c r="Z822" s="1675"/>
      <c r="AA822" s="1675"/>
    </row>
    <row r="823" spans="1:27" ht="13.5" customHeight="1" x14ac:dyDescent="0.3">
      <c r="A823" s="1675"/>
      <c r="B823" s="1675"/>
      <c r="C823" s="1678"/>
      <c r="D823" s="1771"/>
      <c r="E823" s="1771"/>
      <c r="F823" s="1771"/>
      <c r="G823" s="1689"/>
      <c r="H823" s="1674"/>
      <c r="I823" s="1675"/>
      <c r="J823" s="1675"/>
      <c r="K823" s="1675"/>
      <c r="L823" s="1675"/>
      <c r="M823" s="1676"/>
      <c r="N823" s="1676"/>
      <c r="O823" s="1676"/>
      <c r="P823" s="1675"/>
      <c r="Q823" s="1675"/>
      <c r="R823" s="1675"/>
      <c r="S823" s="1675"/>
      <c r="T823" s="1675"/>
      <c r="U823" s="1675"/>
      <c r="V823" s="1675"/>
      <c r="W823" s="1675"/>
      <c r="X823" s="1675"/>
      <c r="Y823" s="1675"/>
      <c r="Z823" s="1675"/>
      <c r="AA823" s="1675"/>
    </row>
    <row r="824" spans="1:27" ht="13.5" customHeight="1" x14ac:dyDescent="0.3">
      <c r="A824" s="1675"/>
      <c r="B824" s="1675"/>
      <c r="C824" s="1678"/>
      <c r="D824" s="1771"/>
      <c r="E824" s="1771"/>
      <c r="F824" s="1771"/>
      <c r="G824" s="1689"/>
      <c r="H824" s="1674"/>
      <c r="I824" s="1675"/>
      <c r="J824" s="1675"/>
      <c r="K824" s="1675"/>
      <c r="L824" s="1675"/>
      <c r="M824" s="1676"/>
      <c r="N824" s="1676"/>
      <c r="O824" s="1676"/>
      <c r="P824" s="1675"/>
      <c r="Q824" s="1675"/>
      <c r="R824" s="1675"/>
      <c r="S824" s="1675"/>
      <c r="T824" s="1675"/>
      <c r="U824" s="1675"/>
      <c r="V824" s="1675"/>
      <c r="W824" s="1675"/>
      <c r="X824" s="1675"/>
      <c r="Y824" s="1675"/>
      <c r="Z824" s="1675"/>
      <c r="AA824" s="1675"/>
    </row>
    <row r="825" spans="1:27" ht="13.5" customHeight="1" x14ac:dyDescent="0.3">
      <c r="A825" s="1675"/>
      <c r="B825" s="1675"/>
      <c r="C825" s="1678"/>
      <c r="D825" s="1771"/>
      <c r="E825" s="1771"/>
      <c r="F825" s="1771"/>
      <c r="G825" s="1689"/>
      <c r="H825" s="1674"/>
      <c r="I825" s="1675"/>
      <c r="J825" s="1675"/>
      <c r="K825" s="1675"/>
      <c r="L825" s="1675"/>
      <c r="M825" s="1676"/>
      <c r="N825" s="1676"/>
      <c r="O825" s="1676"/>
      <c r="P825" s="1675"/>
      <c r="Q825" s="1675"/>
      <c r="R825" s="1675"/>
      <c r="S825" s="1675"/>
      <c r="T825" s="1675"/>
      <c r="U825" s="1675"/>
      <c r="V825" s="1675"/>
      <c r="W825" s="1675"/>
      <c r="X825" s="1675"/>
      <c r="Y825" s="1675"/>
      <c r="Z825" s="1675"/>
      <c r="AA825" s="1675"/>
    </row>
    <row r="826" spans="1:27" ht="13.5" customHeight="1" x14ac:dyDescent="0.3">
      <c r="A826" s="1675"/>
      <c r="B826" s="1675"/>
      <c r="C826" s="1678"/>
      <c r="D826" s="1771"/>
      <c r="E826" s="1771"/>
      <c r="F826" s="1771"/>
      <c r="G826" s="1689"/>
      <c r="H826" s="1674"/>
      <c r="I826" s="1675"/>
      <c r="J826" s="1675"/>
      <c r="K826" s="1675"/>
      <c r="L826" s="1675"/>
      <c r="M826" s="1676"/>
      <c r="N826" s="1676"/>
      <c r="O826" s="1676"/>
      <c r="P826" s="1675"/>
      <c r="Q826" s="1675"/>
      <c r="R826" s="1675"/>
      <c r="S826" s="1675"/>
      <c r="T826" s="1675"/>
      <c r="U826" s="1675"/>
      <c r="V826" s="1675"/>
      <c r="W826" s="1675"/>
      <c r="X826" s="1675"/>
      <c r="Y826" s="1675"/>
      <c r="Z826" s="1675"/>
      <c r="AA826" s="1675"/>
    </row>
    <row r="827" spans="1:27" ht="13.5" customHeight="1" x14ac:dyDescent="0.3">
      <c r="A827" s="1675"/>
      <c r="B827" s="1675"/>
      <c r="C827" s="1678"/>
      <c r="D827" s="1771"/>
      <c r="E827" s="1771"/>
      <c r="F827" s="1771"/>
      <c r="G827" s="1689"/>
      <c r="H827" s="1674"/>
      <c r="I827" s="1675"/>
      <c r="J827" s="1675"/>
      <c r="K827" s="1675"/>
      <c r="L827" s="1675"/>
      <c r="M827" s="1676"/>
      <c r="N827" s="1676"/>
      <c r="O827" s="1676"/>
      <c r="P827" s="1675"/>
      <c r="Q827" s="1675"/>
      <c r="R827" s="1675"/>
      <c r="S827" s="1675"/>
      <c r="T827" s="1675"/>
      <c r="U827" s="1675"/>
      <c r="V827" s="1675"/>
      <c r="W827" s="1675"/>
      <c r="X827" s="1675"/>
      <c r="Y827" s="1675"/>
      <c r="Z827" s="1675"/>
      <c r="AA827" s="1675"/>
    </row>
    <row r="828" spans="1:27" ht="13.5" customHeight="1" x14ac:dyDescent="0.3">
      <c r="A828" s="1675"/>
      <c r="B828" s="1675"/>
      <c r="C828" s="1678"/>
      <c r="D828" s="1771"/>
      <c r="E828" s="1771"/>
      <c r="F828" s="1771"/>
      <c r="G828" s="1689"/>
      <c r="H828" s="1674"/>
      <c r="I828" s="1675"/>
      <c r="J828" s="1675"/>
      <c r="K828" s="1675"/>
      <c r="L828" s="1675"/>
      <c r="M828" s="1676"/>
      <c r="N828" s="1676"/>
      <c r="O828" s="1676"/>
      <c r="P828" s="1675"/>
      <c r="Q828" s="1675"/>
      <c r="R828" s="1675"/>
      <c r="S828" s="1675"/>
      <c r="T828" s="1675"/>
      <c r="U828" s="1675"/>
      <c r="V828" s="1675"/>
      <c r="W828" s="1675"/>
      <c r="X828" s="1675"/>
      <c r="Y828" s="1675"/>
      <c r="Z828" s="1675"/>
      <c r="AA828" s="1675"/>
    </row>
    <row r="829" spans="1:27" ht="13.5" customHeight="1" x14ac:dyDescent="0.3">
      <c r="A829" s="1675"/>
      <c r="B829" s="1675"/>
      <c r="C829" s="1678"/>
      <c r="D829" s="1771"/>
      <c r="E829" s="1771"/>
      <c r="F829" s="1771"/>
      <c r="G829" s="1689"/>
      <c r="H829" s="1674"/>
      <c r="I829" s="1675"/>
      <c r="J829" s="1675"/>
      <c r="K829" s="1675"/>
      <c r="L829" s="1675"/>
      <c r="M829" s="1676"/>
      <c r="N829" s="1676"/>
      <c r="O829" s="1676"/>
      <c r="P829" s="1675"/>
      <c r="Q829" s="1675"/>
      <c r="R829" s="1675"/>
      <c r="S829" s="1675"/>
      <c r="T829" s="1675"/>
      <c r="U829" s="1675"/>
      <c r="V829" s="1675"/>
      <c r="W829" s="1675"/>
      <c r="X829" s="1675"/>
      <c r="Y829" s="1675"/>
      <c r="Z829" s="1675"/>
      <c r="AA829" s="1675"/>
    </row>
    <row r="830" spans="1:27" ht="13.5" customHeight="1" x14ac:dyDescent="0.3">
      <c r="A830" s="1675"/>
      <c r="B830" s="1675"/>
      <c r="C830" s="1678"/>
      <c r="D830" s="1771"/>
      <c r="E830" s="1771"/>
      <c r="F830" s="1771"/>
      <c r="G830" s="1689"/>
      <c r="H830" s="1674"/>
      <c r="I830" s="1675"/>
      <c r="J830" s="1675"/>
      <c r="K830" s="1675"/>
      <c r="L830" s="1675"/>
      <c r="M830" s="1676"/>
      <c r="N830" s="1676"/>
      <c r="O830" s="1676"/>
      <c r="P830" s="1675"/>
      <c r="Q830" s="1675"/>
      <c r="R830" s="1675"/>
      <c r="S830" s="1675"/>
      <c r="T830" s="1675"/>
      <c r="U830" s="1675"/>
      <c r="V830" s="1675"/>
      <c r="W830" s="1675"/>
      <c r="X830" s="1675"/>
      <c r="Y830" s="1675"/>
      <c r="Z830" s="1675"/>
      <c r="AA830" s="1675"/>
    </row>
    <row r="831" spans="1:27" ht="13.5" customHeight="1" x14ac:dyDescent="0.3">
      <c r="A831" s="1675"/>
      <c r="B831" s="1675"/>
      <c r="C831" s="1678"/>
      <c r="D831" s="1771"/>
      <c r="E831" s="1771"/>
      <c r="F831" s="1771"/>
      <c r="G831" s="1689"/>
      <c r="H831" s="1674"/>
      <c r="I831" s="1675"/>
      <c r="J831" s="1675"/>
      <c r="K831" s="1675"/>
      <c r="L831" s="1675"/>
      <c r="M831" s="1676"/>
      <c r="N831" s="1676"/>
      <c r="O831" s="1676"/>
      <c r="P831" s="1675"/>
      <c r="Q831" s="1675"/>
      <c r="R831" s="1675"/>
      <c r="S831" s="1675"/>
      <c r="T831" s="1675"/>
      <c r="U831" s="1675"/>
      <c r="V831" s="1675"/>
      <c r="W831" s="1675"/>
      <c r="X831" s="1675"/>
      <c r="Y831" s="1675"/>
      <c r="Z831" s="1675"/>
      <c r="AA831" s="1675"/>
    </row>
    <row r="832" spans="1:27" ht="13.5" customHeight="1" x14ac:dyDescent="0.3">
      <c r="A832" s="1675"/>
      <c r="B832" s="1675"/>
      <c r="C832" s="1678"/>
      <c r="D832" s="1771"/>
      <c r="E832" s="1771"/>
      <c r="F832" s="1771"/>
      <c r="G832" s="1689"/>
      <c r="H832" s="1674"/>
      <c r="I832" s="1675"/>
      <c r="J832" s="1675"/>
      <c r="K832" s="1675"/>
      <c r="L832" s="1675"/>
      <c r="M832" s="1676"/>
      <c r="N832" s="1676"/>
      <c r="O832" s="1676"/>
      <c r="P832" s="1675"/>
      <c r="Q832" s="1675"/>
      <c r="R832" s="1675"/>
      <c r="S832" s="1675"/>
      <c r="T832" s="1675"/>
      <c r="U832" s="1675"/>
      <c r="V832" s="1675"/>
      <c r="W832" s="1675"/>
      <c r="X832" s="1675"/>
      <c r="Y832" s="1675"/>
      <c r="Z832" s="1675"/>
      <c r="AA832" s="1675"/>
    </row>
    <row r="833" spans="1:27" ht="13.5" customHeight="1" x14ac:dyDescent="0.3">
      <c r="A833" s="1675"/>
      <c r="B833" s="1675"/>
      <c r="C833" s="1678"/>
      <c r="D833" s="1771"/>
      <c r="E833" s="1771"/>
      <c r="F833" s="1771"/>
      <c r="G833" s="1689"/>
      <c r="H833" s="1674"/>
      <c r="I833" s="1675"/>
      <c r="J833" s="1675"/>
      <c r="K833" s="1675"/>
      <c r="L833" s="1675"/>
      <c r="M833" s="1676"/>
      <c r="N833" s="1676"/>
      <c r="O833" s="1676"/>
      <c r="P833" s="1675"/>
      <c r="Q833" s="1675"/>
      <c r="R833" s="1675"/>
      <c r="S833" s="1675"/>
      <c r="T833" s="1675"/>
      <c r="U833" s="1675"/>
      <c r="V833" s="1675"/>
      <c r="W833" s="1675"/>
      <c r="X833" s="1675"/>
      <c r="Y833" s="1675"/>
      <c r="Z833" s="1675"/>
      <c r="AA833" s="1675"/>
    </row>
    <row r="834" spans="1:27" ht="13.5" customHeight="1" x14ac:dyDescent="0.3">
      <c r="A834" s="1675"/>
      <c r="B834" s="1675"/>
      <c r="C834" s="1678"/>
      <c r="D834" s="1771"/>
      <c r="E834" s="1771"/>
      <c r="F834" s="1771"/>
      <c r="G834" s="1689"/>
      <c r="H834" s="1674"/>
      <c r="I834" s="1675"/>
      <c r="J834" s="1675"/>
      <c r="K834" s="1675"/>
      <c r="L834" s="1675"/>
      <c r="M834" s="1676"/>
      <c r="N834" s="1676"/>
      <c r="O834" s="1676"/>
      <c r="P834" s="1675"/>
      <c r="Q834" s="1675"/>
      <c r="R834" s="1675"/>
      <c r="S834" s="1675"/>
      <c r="T834" s="1675"/>
      <c r="U834" s="1675"/>
      <c r="V834" s="1675"/>
      <c r="W834" s="1675"/>
      <c r="X834" s="1675"/>
      <c r="Y834" s="1675"/>
      <c r="Z834" s="1675"/>
      <c r="AA834" s="1675"/>
    </row>
    <row r="835" spans="1:27" ht="13.5" customHeight="1" x14ac:dyDescent="0.3">
      <c r="A835" s="1675"/>
      <c r="B835" s="1675"/>
      <c r="C835" s="1678"/>
      <c r="D835" s="1771"/>
      <c r="E835" s="1771"/>
      <c r="F835" s="1771"/>
      <c r="G835" s="1689"/>
      <c r="H835" s="1674"/>
      <c r="I835" s="1675"/>
      <c r="J835" s="1675"/>
      <c r="K835" s="1675"/>
      <c r="L835" s="1675"/>
      <c r="M835" s="1676"/>
      <c r="N835" s="1676"/>
      <c r="O835" s="1676"/>
      <c r="P835" s="1675"/>
      <c r="Q835" s="1675"/>
      <c r="R835" s="1675"/>
      <c r="S835" s="1675"/>
      <c r="T835" s="1675"/>
      <c r="U835" s="1675"/>
      <c r="V835" s="1675"/>
      <c r="W835" s="1675"/>
      <c r="X835" s="1675"/>
      <c r="Y835" s="1675"/>
      <c r="Z835" s="1675"/>
      <c r="AA835" s="1675"/>
    </row>
    <row r="836" spans="1:27" ht="13.5" customHeight="1" x14ac:dyDescent="0.3">
      <c r="A836" s="1675"/>
      <c r="B836" s="1675"/>
      <c r="C836" s="1678"/>
      <c r="D836" s="1771"/>
      <c r="E836" s="1771"/>
      <c r="F836" s="1771"/>
      <c r="G836" s="1689"/>
      <c r="H836" s="1674"/>
      <c r="I836" s="1675"/>
      <c r="J836" s="1675"/>
      <c r="K836" s="1675"/>
      <c r="L836" s="1675"/>
      <c r="M836" s="1676"/>
      <c r="N836" s="1676"/>
      <c r="O836" s="1676"/>
      <c r="P836" s="1675"/>
      <c r="Q836" s="1675"/>
      <c r="R836" s="1675"/>
      <c r="S836" s="1675"/>
      <c r="T836" s="1675"/>
      <c r="U836" s="1675"/>
      <c r="V836" s="1675"/>
      <c r="W836" s="1675"/>
      <c r="X836" s="1675"/>
      <c r="Y836" s="1675"/>
      <c r="Z836" s="1675"/>
      <c r="AA836" s="1675"/>
    </row>
    <row r="837" spans="1:27" ht="13.5" customHeight="1" x14ac:dyDescent="0.3">
      <c r="A837" s="1675"/>
      <c r="B837" s="1675"/>
      <c r="C837" s="1678"/>
      <c r="D837" s="1771"/>
      <c r="E837" s="1771"/>
      <c r="F837" s="1771"/>
      <c r="G837" s="1689"/>
      <c r="H837" s="1674"/>
      <c r="I837" s="1675"/>
      <c r="J837" s="1675"/>
      <c r="K837" s="1675"/>
      <c r="L837" s="1675"/>
      <c r="M837" s="1676"/>
      <c r="N837" s="1676"/>
      <c r="O837" s="1676"/>
      <c r="P837" s="1675"/>
      <c r="Q837" s="1675"/>
      <c r="R837" s="1675"/>
      <c r="S837" s="1675"/>
      <c r="T837" s="1675"/>
      <c r="U837" s="1675"/>
      <c r="V837" s="1675"/>
      <c r="W837" s="1675"/>
      <c r="X837" s="1675"/>
      <c r="Y837" s="1675"/>
      <c r="Z837" s="1675"/>
      <c r="AA837" s="1675"/>
    </row>
    <row r="838" spans="1:27" ht="13.5" customHeight="1" x14ac:dyDescent="0.3">
      <c r="A838" s="1675"/>
      <c r="B838" s="1675"/>
      <c r="C838" s="1678"/>
      <c r="D838" s="1771"/>
      <c r="E838" s="1771"/>
      <c r="F838" s="1771"/>
      <c r="G838" s="1689"/>
      <c r="H838" s="1674"/>
      <c r="I838" s="1675"/>
      <c r="J838" s="1675"/>
      <c r="K838" s="1675"/>
      <c r="L838" s="1675"/>
      <c r="M838" s="1676"/>
      <c r="N838" s="1676"/>
      <c r="O838" s="1676"/>
      <c r="P838" s="1675"/>
      <c r="Q838" s="1675"/>
      <c r="R838" s="1675"/>
      <c r="S838" s="1675"/>
      <c r="T838" s="1675"/>
      <c r="U838" s="1675"/>
      <c r="V838" s="1675"/>
      <c r="W838" s="1675"/>
      <c r="X838" s="1675"/>
      <c r="Y838" s="1675"/>
      <c r="Z838" s="1675"/>
      <c r="AA838" s="1675"/>
    </row>
    <row r="839" spans="1:27" ht="13.5" customHeight="1" x14ac:dyDescent="0.3">
      <c r="A839" s="1675"/>
      <c r="B839" s="1675"/>
      <c r="C839" s="1678"/>
      <c r="D839" s="1771"/>
      <c r="E839" s="1771"/>
      <c r="F839" s="1771"/>
      <c r="G839" s="1689"/>
      <c r="H839" s="1674"/>
      <c r="I839" s="1675"/>
      <c r="J839" s="1675"/>
      <c r="K839" s="1675"/>
      <c r="L839" s="1675"/>
      <c r="M839" s="1676"/>
      <c r="N839" s="1676"/>
      <c r="O839" s="1676"/>
      <c r="P839" s="1675"/>
      <c r="Q839" s="1675"/>
      <c r="R839" s="1675"/>
      <c r="S839" s="1675"/>
      <c r="T839" s="1675"/>
      <c r="U839" s="1675"/>
      <c r="V839" s="1675"/>
      <c r="W839" s="1675"/>
      <c r="X839" s="1675"/>
      <c r="Y839" s="1675"/>
      <c r="Z839" s="1675"/>
      <c r="AA839" s="1675"/>
    </row>
    <row r="840" spans="1:27" ht="13.5" customHeight="1" x14ac:dyDescent="0.3">
      <c r="A840" s="1675"/>
      <c r="B840" s="1675"/>
      <c r="C840" s="1678"/>
      <c r="D840" s="1771"/>
      <c r="E840" s="1771"/>
      <c r="F840" s="1771"/>
      <c r="G840" s="1689"/>
      <c r="H840" s="1674"/>
      <c r="I840" s="1675"/>
      <c r="J840" s="1675"/>
      <c r="K840" s="1675"/>
      <c r="L840" s="1675"/>
      <c r="M840" s="1676"/>
      <c r="N840" s="1676"/>
      <c r="O840" s="1676"/>
      <c r="P840" s="1675"/>
      <c r="Q840" s="1675"/>
      <c r="R840" s="1675"/>
      <c r="S840" s="1675"/>
      <c r="T840" s="1675"/>
      <c r="U840" s="1675"/>
      <c r="V840" s="1675"/>
      <c r="W840" s="1675"/>
      <c r="X840" s="1675"/>
      <c r="Y840" s="1675"/>
      <c r="Z840" s="1675"/>
      <c r="AA840" s="1675"/>
    </row>
    <row r="841" spans="1:27" ht="13.5" customHeight="1" x14ac:dyDescent="0.3">
      <c r="A841" s="1675"/>
      <c r="B841" s="1675"/>
      <c r="C841" s="1678"/>
      <c r="D841" s="1771"/>
      <c r="E841" s="1771"/>
      <c r="F841" s="1771"/>
      <c r="G841" s="1689"/>
      <c r="H841" s="1674"/>
      <c r="I841" s="1675"/>
      <c r="J841" s="1675"/>
      <c r="K841" s="1675"/>
      <c r="L841" s="1675"/>
      <c r="M841" s="1676"/>
      <c r="N841" s="1676"/>
      <c r="O841" s="1676"/>
      <c r="P841" s="1675"/>
      <c r="Q841" s="1675"/>
      <c r="R841" s="1675"/>
      <c r="S841" s="1675"/>
      <c r="T841" s="1675"/>
      <c r="U841" s="1675"/>
      <c r="V841" s="1675"/>
      <c r="W841" s="1675"/>
      <c r="X841" s="1675"/>
      <c r="Y841" s="1675"/>
      <c r="Z841" s="1675"/>
      <c r="AA841" s="1675"/>
    </row>
    <row r="842" spans="1:27" ht="13.5" customHeight="1" x14ac:dyDescent="0.3">
      <c r="A842" s="1675"/>
      <c r="B842" s="1675"/>
      <c r="C842" s="1678"/>
      <c r="D842" s="1771"/>
      <c r="E842" s="1771"/>
      <c r="F842" s="1771"/>
      <c r="G842" s="1689"/>
      <c r="H842" s="1674"/>
      <c r="I842" s="1675"/>
      <c r="J842" s="1675"/>
      <c r="K842" s="1675"/>
      <c r="L842" s="1675"/>
      <c r="M842" s="1676"/>
      <c r="N842" s="1676"/>
      <c r="O842" s="1676"/>
      <c r="P842" s="1675"/>
      <c r="Q842" s="1675"/>
      <c r="R842" s="1675"/>
      <c r="S842" s="1675"/>
      <c r="T842" s="1675"/>
      <c r="U842" s="1675"/>
      <c r="V842" s="1675"/>
      <c r="W842" s="1675"/>
      <c r="X842" s="1675"/>
      <c r="Y842" s="1675"/>
      <c r="Z842" s="1675"/>
      <c r="AA842" s="1675"/>
    </row>
    <row r="843" spans="1:27" ht="13.5" customHeight="1" x14ac:dyDescent="0.3">
      <c r="A843" s="1675"/>
      <c r="B843" s="1675"/>
      <c r="C843" s="1678"/>
      <c r="D843" s="1771"/>
      <c r="E843" s="1771"/>
      <c r="F843" s="1771"/>
      <c r="G843" s="1689"/>
      <c r="H843" s="1674"/>
      <c r="I843" s="1675"/>
      <c r="J843" s="1675"/>
      <c r="K843" s="1675"/>
      <c r="L843" s="1675"/>
      <c r="M843" s="1676"/>
      <c r="N843" s="1676"/>
      <c r="O843" s="1676"/>
      <c r="P843" s="1675"/>
      <c r="Q843" s="1675"/>
      <c r="R843" s="1675"/>
      <c r="S843" s="1675"/>
      <c r="T843" s="1675"/>
      <c r="U843" s="1675"/>
      <c r="V843" s="1675"/>
      <c r="W843" s="1675"/>
      <c r="X843" s="1675"/>
      <c r="Y843" s="1675"/>
      <c r="Z843" s="1675"/>
      <c r="AA843" s="1675"/>
    </row>
    <row r="844" spans="1:27" ht="13.5" customHeight="1" x14ac:dyDescent="0.3">
      <c r="A844" s="1675"/>
      <c r="B844" s="1675"/>
      <c r="C844" s="1678"/>
      <c r="D844" s="1771"/>
      <c r="E844" s="1771"/>
      <c r="F844" s="1771"/>
      <c r="G844" s="1689"/>
      <c r="H844" s="1674"/>
      <c r="I844" s="1675"/>
      <c r="J844" s="1675"/>
      <c r="K844" s="1675"/>
      <c r="L844" s="1675"/>
      <c r="M844" s="1676"/>
      <c r="N844" s="1676"/>
      <c r="O844" s="1676"/>
      <c r="P844" s="1675"/>
      <c r="Q844" s="1675"/>
      <c r="R844" s="1675"/>
      <c r="S844" s="1675"/>
      <c r="T844" s="1675"/>
      <c r="U844" s="1675"/>
      <c r="V844" s="1675"/>
      <c r="W844" s="1675"/>
      <c r="X844" s="1675"/>
      <c r="Y844" s="1675"/>
      <c r="Z844" s="1675"/>
      <c r="AA844" s="1675"/>
    </row>
    <row r="845" spans="1:27" ht="13.5" customHeight="1" x14ac:dyDescent="0.3">
      <c r="A845" s="1675"/>
      <c r="B845" s="1675"/>
      <c r="C845" s="1678"/>
      <c r="D845" s="1771"/>
      <c r="E845" s="1771"/>
      <c r="F845" s="1771"/>
      <c r="G845" s="1689"/>
      <c r="H845" s="1674"/>
      <c r="I845" s="1675"/>
      <c r="J845" s="1675"/>
      <c r="K845" s="1675"/>
      <c r="L845" s="1675"/>
      <c r="M845" s="1676"/>
      <c r="N845" s="1676"/>
      <c r="O845" s="1676"/>
      <c r="P845" s="1675"/>
      <c r="Q845" s="1675"/>
      <c r="R845" s="1675"/>
      <c r="S845" s="1675"/>
      <c r="T845" s="1675"/>
      <c r="U845" s="1675"/>
      <c r="V845" s="1675"/>
      <c r="W845" s="1675"/>
      <c r="X845" s="1675"/>
      <c r="Y845" s="1675"/>
      <c r="Z845" s="1675"/>
      <c r="AA845" s="1675"/>
    </row>
    <row r="846" spans="1:27" ht="13.5" customHeight="1" x14ac:dyDescent="0.3">
      <c r="A846" s="1675"/>
      <c r="B846" s="1675"/>
      <c r="C846" s="1678"/>
      <c r="D846" s="1771"/>
      <c r="E846" s="1771"/>
      <c r="F846" s="1771"/>
      <c r="G846" s="1689"/>
      <c r="H846" s="1674"/>
      <c r="I846" s="1675"/>
      <c r="J846" s="1675"/>
      <c r="K846" s="1675"/>
      <c r="L846" s="1675"/>
      <c r="M846" s="1676"/>
      <c r="N846" s="1676"/>
      <c r="O846" s="1676"/>
      <c r="P846" s="1675"/>
      <c r="Q846" s="1675"/>
      <c r="R846" s="1675"/>
      <c r="S846" s="1675"/>
      <c r="T846" s="1675"/>
      <c r="U846" s="1675"/>
      <c r="V846" s="1675"/>
      <c r="W846" s="1675"/>
      <c r="X846" s="1675"/>
      <c r="Y846" s="1675"/>
      <c r="Z846" s="1675"/>
      <c r="AA846" s="1675"/>
    </row>
    <row r="847" spans="1:27" ht="13.5" customHeight="1" x14ac:dyDescent="0.3">
      <c r="A847" s="1675"/>
      <c r="B847" s="1675"/>
      <c r="C847" s="1678"/>
      <c r="D847" s="1771"/>
      <c r="E847" s="1771"/>
      <c r="F847" s="1771"/>
      <c r="G847" s="1689"/>
      <c r="H847" s="1674"/>
      <c r="I847" s="1675"/>
      <c r="J847" s="1675"/>
      <c r="K847" s="1675"/>
      <c r="L847" s="1675"/>
      <c r="M847" s="1676"/>
      <c r="N847" s="1676"/>
      <c r="O847" s="1676"/>
      <c r="P847" s="1675"/>
      <c r="Q847" s="1675"/>
      <c r="R847" s="1675"/>
      <c r="S847" s="1675"/>
      <c r="T847" s="1675"/>
      <c r="U847" s="1675"/>
      <c r="V847" s="1675"/>
      <c r="W847" s="1675"/>
      <c r="X847" s="1675"/>
      <c r="Y847" s="1675"/>
      <c r="Z847" s="1675"/>
      <c r="AA847" s="1675"/>
    </row>
    <row r="848" spans="1:27" ht="13.5" customHeight="1" x14ac:dyDescent="0.3">
      <c r="A848" s="1675"/>
      <c r="B848" s="1675"/>
      <c r="C848" s="1678"/>
      <c r="D848" s="1771"/>
      <c r="E848" s="1771"/>
      <c r="F848" s="1771"/>
      <c r="G848" s="1689"/>
      <c r="H848" s="1674"/>
      <c r="I848" s="1675"/>
      <c r="J848" s="1675"/>
      <c r="K848" s="1675"/>
      <c r="L848" s="1675"/>
      <c r="M848" s="1676"/>
      <c r="N848" s="1676"/>
      <c r="O848" s="1676"/>
      <c r="P848" s="1675"/>
      <c r="Q848" s="1675"/>
      <c r="R848" s="1675"/>
      <c r="S848" s="1675"/>
      <c r="T848" s="1675"/>
      <c r="U848" s="1675"/>
      <c r="V848" s="1675"/>
      <c r="W848" s="1675"/>
      <c r="X848" s="1675"/>
      <c r="Y848" s="1675"/>
      <c r="Z848" s="1675"/>
      <c r="AA848" s="1675"/>
    </row>
    <row r="849" spans="1:27" ht="13.5" customHeight="1" x14ac:dyDescent="0.3">
      <c r="A849" s="1675"/>
      <c r="B849" s="1675"/>
      <c r="C849" s="1678"/>
      <c r="D849" s="1771"/>
      <c r="E849" s="1771"/>
      <c r="F849" s="1771"/>
      <c r="G849" s="1689"/>
      <c r="H849" s="1674"/>
      <c r="I849" s="1675"/>
      <c r="J849" s="1675"/>
      <c r="K849" s="1675"/>
      <c r="L849" s="1675"/>
      <c r="M849" s="1676"/>
      <c r="N849" s="1676"/>
      <c r="O849" s="1676"/>
      <c r="P849" s="1675"/>
      <c r="Q849" s="1675"/>
      <c r="R849" s="1675"/>
      <c r="S849" s="1675"/>
      <c r="T849" s="1675"/>
      <c r="U849" s="1675"/>
      <c r="V849" s="1675"/>
      <c r="W849" s="1675"/>
      <c r="X849" s="1675"/>
      <c r="Y849" s="1675"/>
      <c r="Z849" s="1675"/>
      <c r="AA849" s="1675"/>
    </row>
    <row r="850" spans="1:27" ht="13.5" customHeight="1" x14ac:dyDescent="0.3">
      <c r="A850" s="1675"/>
      <c r="B850" s="1675"/>
      <c r="C850" s="1678"/>
      <c r="D850" s="1771"/>
      <c r="E850" s="1771"/>
      <c r="F850" s="1771"/>
      <c r="G850" s="1689"/>
      <c r="H850" s="1674"/>
      <c r="I850" s="1675"/>
      <c r="J850" s="1675"/>
      <c r="K850" s="1675"/>
      <c r="L850" s="1675"/>
      <c r="M850" s="1676"/>
      <c r="N850" s="1676"/>
      <c r="O850" s="1676"/>
      <c r="P850" s="1675"/>
      <c r="Q850" s="1675"/>
      <c r="R850" s="1675"/>
      <c r="S850" s="1675"/>
      <c r="T850" s="1675"/>
      <c r="U850" s="1675"/>
      <c r="V850" s="1675"/>
      <c r="W850" s="1675"/>
      <c r="X850" s="1675"/>
      <c r="Y850" s="1675"/>
      <c r="Z850" s="1675"/>
      <c r="AA850" s="1675"/>
    </row>
    <row r="851" spans="1:27" ht="13.5" customHeight="1" x14ac:dyDescent="0.3">
      <c r="A851" s="1675"/>
      <c r="B851" s="1675"/>
      <c r="C851" s="1678"/>
      <c r="D851" s="1771"/>
      <c r="E851" s="1771"/>
      <c r="F851" s="1771"/>
      <c r="G851" s="1689"/>
      <c r="H851" s="1674"/>
      <c r="I851" s="1675"/>
      <c r="J851" s="1675"/>
      <c r="K851" s="1675"/>
      <c r="L851" s="1675"/>
      <c r="M851" s="1676"/>
      <c r="N851" s="1676"/>
      <c r="O851" s="1676"/>
      <c r="P851" s="1675"/>
      <c r="Q851" s="1675"/>
      <c r="R851" s="1675"/>
      <c r="S851" s="1675"/>
      <c r="T851" s="1675"/>
      <c r="U851" s="1675"/>
      <c r="V851" s="1675"/>
      <c r="W851" s="1675"/>
      <c r="X851" s="1675"/>
      <c r="Y851" s="1675"/>
      <c r="Z851" s="1675"/>
      <c r="AA851" s="1675"/>
    </row>
    <row r="852" spans="1:27" ht="13.5" customHeight="1" x14ac:dyDescent="0.3">
      <c r="A852" s="1675"/>
      <c r="B852" s="1675"/>
      <c r="C852" s="1678"/>
      <c r="D852" s="1771"/>
      <c r="E852" s="1771"/>
      <c r="F852" s="1771"/>
      <c r="G852" s="1689"/>
      <c r="H852" s="1674"/>
      <c r="I852" s="1675"/>
      <c r="J852" s="1675"/>
      <c r="K852" s="1675"/>
      <c r="L852" s="1675"/>
      <c r="M852" s="1676"/>
      <c r="N852" s="1676"/>
      <c r="O852" s="1676"/>
      <c r="P852" s="1675"/>
      <c r="Q852" s="1675"/>
      <c r="R852" s="1675"/>
      <c r="S852" s="1675"/>
      <c r="T852" s="1675"/>
      <c r="U852" s="1675"/>
      <c r="V852" s="1675"/>
      <c r="W852" s="1675"/>
      <c r="X852" s="1675"/>
      <c r="Y852" s="1675"/>
      <c r="Z852" s="1675"/>
      <c r="AA852" s="1675"/>
    </row>
    <row r="853" spans="1:27" ht="13.5" customHeight="1" x14ac:dyDescent="0.3">
      <c r="A853" s="1675"/>
      <c r="B853" s="1675"/>
      <c r="C853" s="1678"/>
      <c r="D853" s="1771"/>
      <c r="E853" s="1771"/>
      <c r="F853" s="1771"/>
      <c r="G853" s="1689"/>
      <c r="H853" s="1674"/>
      <c r="I853" s="1675"/>
      <c r="J853" s="1675"/>
      <c r="K853" s="1675"/>
      <c r="L853" s="1675"/>
      <c r="M853" s="1676"/>
      <c r="N853" s="1676"/>
      <c r="O853" s="1676"/>
      <c r="P853" s="1675"/>
      <c r="Q853" s="1675"/>
      <c r="R853" s="1675"/>
      <c r="S853" s="1675"/>
      <c r="T853" s="1675"/>
      <c r="U853" s="1675"/>
      <c r="V853" s="1675"/>
      <c r="W853" s="1675"/>
      <c r="X853" s="1675"/>
      <c r="Y853" s="1675"/>
      <c r="Z853" s="1675"/>
      <c r="AA853" s="1675"/>
    </row>
    <row r="854" spans="1:27" ht="13.5" customHeight="1" x14ac:dyDescent="0.3">
      <c r="A854" s="1675"/>
      <c r="B854" s="1675"/>
      <c r="C854" s="1678"/>
      <c r="D854" s="1771"/>
      <c r="E854" s="1771"/>
      <c r="F854" s="1771"/>
      <c r="G854" s="1689"/>
      <c r="H854" s="1674"/>
      <c r="I854" s="1675"/>
      <c r="J854" s="1675"/>
      <c r="K854" s="1675"/>
      <c r="L854" s="1675"/>
      <c r="M854" s="1676"/>
      <c r="N854" s="1676"/>
      <c r="O854" s="1676"/>
      <c r="P854" s="1675"/>
      <c r="Q854" s="1675"/>
      <c r="R854" s="1675"/>
      <c r="S854" s="1675"/>
      <c r="T854" s="1675"/>
      <c r="U854" s="1675"/>
      <c r="V854" s="1675"/>
      <c r="W854" s="1675"/>
      <c r="X854" s="1675"/>
      <c r="Y854" s="1675"/>
      <c r="Z854" s="1675"/>
      <c r="AA854" s="1675"/>
    </row>
    <row r="855" spans="1:27" ht="13.5" customHeight="1" x14ac:dyDescent="0.3">
      <c r="A855" s="1675"/>
      <c r="B855" s="1675"/>
      <c r="C855" s="1678"/>
      <c r="D855" s="1771"/>
      <c r="E855" s="1771"/>
      <c r="F855" s="1771"/>
      <c r="G855" s="1689"/>
      <c r="H855" s="1674"/>
      <c r="I855" s="1675"/>
      <c r="J855" s="1675"/>
      <c r="K855" s="1675"/>
      <c r="L855" s="1675"/>
      <c r="M855" s="1676"/>
      <c r="N855" s="1676"/>
      <c r="O855" s="1676"/>
      <c r="P855" s="1675"/>
      <c r="Q855" s="1675"/>
      <c r="R855" s="1675"/>
      <c r="S855" s="1675"/>
      <c r="T855" s="1675"/>
      <c r="U855" s="1675"/>
      <c r="V855" s="1675"/>
      <c r="W855" s="1675"/>
      <c r="X855" s="1675"/>
      <c r="Y855" s="1675"/>
      <c r="Z855" s="1675"/>
      <c r="AA855" s="1675"/>
    </row>
    <row r="856" spans="1:27" ht="13.5" customHeight="1" x14ac:dyDescent="0.3">
      <c r="A856" s="1675"/>
      <c r="B856" s="1675"/>
      <c r="C856" s="1678"/>
      <c r="D856" s="1771"/>
      <c r="E856" s="1771"/>
      <c r="F856" s="1771"/>
      <c r="G856" s="1689"/>
      <c r="H856" s="1674"/>
      <c r="I856" s="1675"/>
      <c r="J856" s="1675"/>
      <c r="K856" s="1675"/>
      <c r="L856" s="1675"/>
      <c r="M856" s="1676"/>
      <c r="N856" s="1676"/>
      <c r="O856" s="1676"/>
      <c r="P856" s="1675"/>
      <c r="Q856" s="1675"/>
      <c r="R856" s="1675"/>
      <c r="S856" s="1675"/>
      <c r="T856" s="1675"/>
      <c r="U856" s="1675"/>
      <c r="V856" s="1675"/>
      <c r="W856" s="1675"/>
      <c r="X856" s="1675"/>
      <c r="Y856" s="1675"/>
      <c r="Z856" s="1675"/>
      <c r="AA856" s="1675"/>
    </row>
    <row r="857" spans="1:27" ht="13.5" customHeight="1" x14ac:dyDescent="0.3">
      <c r="A857" s="1675"/>
      <c r="B857" s="1675"/>
      <c r="C857" s="1678"/>
      <c r="D857" s="1771"/>
      <c r="E857" s="1771"/>
      <c r="F857" s="1771"/>
      <c r="G857" s="1689"/>
      <c r="H857" s="1674"/>
      <c r="I857" s="1675"/>
      <c r="J857" s="1675"/>
      <c r="K857" s="1675"/>
      <c r="L857" s="1675"/>
      <c r="M857" s="1676"/>
      <c r="N857" s="1676"/>
      <c r="O857" s="1676"/>
      <c r="P857" s="1675"/>
      <c r="Q857" s="1675"/>
      <c r="R857" s="1675"/>
      <c r="S857" s="1675"/>
      <c r="T857" s="1675"/>
      <c r="U857" s="1675"/>
      <c r="V857" s="1675"/>
      <c r="W857" s="1675"/>
      <c r="X857" s="1675"/>
      <c r="Y857" s="1675"/>
      <c r="Z857" s="1675"/>
      <c r="AA857" s="1675"/>
    </row>
    <row r="858" spans="1:27" ht="13.5" customHeight="1" x14ac:dyDescent="0.3">
      <c r="A858" s="1675"/>
      <c r="B858" s="1675"/>
      <c r="C858" s="1678"/>
      <c r="D858" s="1771"/>
      <c r="E858" s="1771"/>
      <c r="F858" s="1771"/>
      <c r="G858" s="1689"/>
      <c r="H858" s="1674"/>
      <c r="I858" s="1675"/>
      <c r="J858" s="1675"/>
      <c r="K858" s="1675"/>
      <c r="L858" s="1675"/>
      <c r="M858" s="1676"/>
      <c r="N858" s="1676"/>
      <c r="O858" s="1676"/>
      <c r="P858" s="1675"/>
      <c r="Q858" s="1675"/>
      <c r="R858" s="1675"/>
      <c r="S858" s="1675"/>
      <c r="T858" s="1675"/>
      <c r="U858" s="1675"/>
      <c r="V858" s="1675"/>
      <c r="W858" s="1675"/>
      <c r="X858" s="1675"/>
      <c r="Y858" s="1675"/>
      <c r="Z858" s="1675"/>
      <c r="AA858" s="1675"/>
    </row>
    <row r="859" spans="1:27" ht="13.5" customHeight="1" x14ac:dyDescent="0.3">
      <c r="A859" s="1675"/>
      <c r="B859" s="1675"/>
      <c r="C859" s="1678"/>
      <c r="D859" s="1771"/>
      <c r="E859" s="1771"/>
      <c r="F859" s="1771"/>
      <c r="G859" s="1689"/>
      <c r="H859" s="1674"/>
      <c r="I859" s="1675"/>
      <c r="J859" s="1675"/>
      <c r="K859" s="1675"/>
      <c r="L859" s="1675"/>
      <c r="M859" s="1676"/>
      <c r="N859" s="1676"/>
      <c r="O859" s="1676"/>
      <c r="P859" s="1675"/>
      <c r="Q859" s="1675"/>
      <c r="R859" s="1675"/>
      <c r="S859" s="1675"/>
      <c r="T859" s="1675"/>
      <c r="U859" s="1675"/>
      <c r="V859" s="1675"/>
      <c r="W859" s="1675"/>
      <c r="X859" s="1675"/>
      <c r="Y859" s="1675"/>
      <c r="Z859" s="1675"/>
      <c r="AA859" s="1675"/>
    </row>
    <row r="860" spans="1:27" ht="13.5" customHeight="1" x14ac:dyDescent="0.3">
      <c r="A860" s="1675"/>
      <c r="B860" s="1675"/>
      <c r="C860" s="1678"/>
      <c r="D860" s="1771"/>
      <c r="E860" s="1771"/>
      <c r="F860" s="1771"/>
      <c r="G860" s="1689"/>
      <c r="H860" s="1674"/>
      <c r="I860" s="1675"/>
      <c r="J860" s="1675"/>
      <c r="K860" s="1675"/>
      <c r="L860" s="1675"/>
      <c r="M860" s="1676"/>
      <c r="N860" s="1676"/>
      <c r="O860" s="1676"/>
      <c r="P860" s="1675"/>
      <c r="Q860" s="1675"/>
      <c r="R860" s="1675"/>
      <c r="S860" s="1675"/>
      <c r="T860" s="1675"/>
      <c r="U860" s="1675"/>
      <c r="V860" s="1675"/>
      <c r="W860" s="1675"/>
      <c r="X860" s="1675"/>
      <c r="Y860" s="1675"/>
      <c r="Z860" s="1675"/>
      <c r="AA860" s="1675"/>
    </row>
    <row r="861" spans="1:27" ht="13.5" customHeight="1" x14ac:dyDescent="0.3">
      <c r="A861" s="1675"/>
      <c r="B861" s="1675"/>
      <c r="C861" s="1678"/>
      <c r="D861" s="1771"/>
      <c r="E861" s="1771"/>
      <c r="F861" s="1771"/>
      <c r="G861" s="1689"/>
      <c r="H861" s="1674"/>
      <c r="I861" s="1675"/>
      <c r="J861" s="1675"/>
      <c r="K861" s="1675"/>
      <c r="L861" s="1675"/>
      <c r="M861" s="1676"/>
      <c r="N861" s="1676"/>
      <c r="O861" s="1676"/>
      <c r="P861" s="1675"/>
      <c r="Q861" s="1675"/>
      <c r="R861" s="1675"/>
      <c r="S861" s="1675"/>
      <c r="T861" s="1675"/>
      <c r="U861" s="1675"/>
      <c r="V861" s="1675"/>
      <c r="W861" s="1675"/>
      <c r="X861" s="1675"/>
      <c r="Y861" s="1675"/>
      <c r="Z861" s="1675"/>
      <c r="AA861" s="1675"/>
    </row>
    <row r="862" spans="1:27" ht="13.5" customHeight="1" x14ac:dyDescent="0.3">
      <c r="A862" s="1675"/>
      <c r="B862" s="1675"/>
      <c r="C862" s="1678"/>
      <c r="D862" s="1771"/>
      <c r="E862" s="1771"/>
      <c r="F862" s="1771"/>
      <c r="G862" s="1689"/>
      <c r="H862" s="1674"/>
      <c r="I862" s="1675"/>
      <c r="J862" s="1675"/>
      <c r="K862" s="1675"/>
      <c r="L862" s="1675"/>
      <c r="M862" s="1676"/>
      <c r="N862" s="1676"/>
      <c r="O862" s="1676"/>
      <c r="P862" s="1675"/>
      <c r="Q862" s="1675"/>
      <c r="R862" s="1675"/>
      <c r="S862" s="1675"/>
      <c r="T862" s="1675"/>
      <c r="U862" s="1675"/>
      <c r="V862" s="1675"/>
      <c r="W862" s="1675"/>
      <c r="X862" s="1675"/>
      <c r="Y862" s="1675"/>
      <c r="Z862" s="1675"/>
      <c r="AA862" s="1675"/>
    </row>
    <row r="863" spans="1:27" ht="13.5" customHeight="1" x14ac:dyDescent="0.3">
      <c r="A863" s="1675"/>
      <c r="B863" s="1675"/>
      <c r="C863" s="1678"/>
      <c r="D863" s="1771"/>
      <c r="E863" s="1771"/>
      <c r="F863" s="1771"/>
      <c r="G863" s="1689"/>
      <c r="H863" s="1674"/>
      <c r="I863" s="1675"/>
      <c r="J863" s="1675"/>
      <c r="K863" s="1675"/>
      <c r="L863" s="1675"/>
      <c r="M863" s="1676"/>
      <c r="N863" s="1676"/>
      <c r="O863" s="1676"/>
      <c r="P863" s="1675"/>
      <c r="Q863" s="1675"/>
      <c r="R863" s="1675"/>
      <c r="S863" s="1675"/>
      <c r="T863" s="1675"/>
      <c r="U863" s="1675"/>
      <c r="V863" s="1675"/>
      <c r="W863" s="1675"/>
      <c r="X863" s="1675"/>
      <c r="Y863" s="1675"/>
      <c r="Z863" s="1675"/>
      <c r="AA863" s="1675"/>
    </row>
    <row r="864" spans="1:27" ht="13.5" customHeight="1" x14ac:dyDescent="0.3">
      <c r="A864" s="1675"/>
      <c r="B864" s="1675"/>
      <c r="C864" s="1678"/>
      <c r="D864" s="1771"/>
      <c r="E864" s="1771"/>
      <c r="F864" s="1771"/>
      <c r="G864" s="1689"/>
      <c r="H864" s="1674"/>
      <c r="I864" s="1675"/>
      <c r="J864" s="1675"/>
      <c r="K864" s="1675"/>
      <c r="L864" s="1675"/>
      <c r="M864" s="1676"/>
      <c r="N864" s="1676"/>
      <c r="O864" s="1676"/>
      <c r="P864" s="1675"/>
      <c r="Q864" s="1675"/>
      <c r="R864" s="1675"/>
      <c r="S864" s="1675"/>
      <c r="T864" s="1675"/>
      <c r="U864" s="1675"/>
      <c r="V864" s="1675"/>
      <c r="W864" s="1675"/>
      <c r="X864" s="1675"/>
      <c r="Y864" s="1675"/>
      <c r="Z864" s="1675"/>
      <c r="AA864" s="1675"/>
    </row>
    <row r="865" spans="1:27" ht="13.5" customHeight="1" x14ac:dyDescent="0.3">
      <c r="A865" s="1675"/>
      <c r="B865" s="1675"/>
      <c r="C865" s="1678"/>
      <c r="D865" s="1771"/>
      <c r="E865" s="1771"/>
      <c r="F865" s="1771"/>
      <c r="G865" s="1689"/>
      <c r="H865" s="1674"/>
      <c r="I865" s="1675"/>
      <c r="J865" s="1675"/>
      <c r="K865" s="1675"/>
      <c r="L865" s="1675"/>
      <c r="M865" s="1676"/>
      <c r="N865" s="1676"/>
      <c r="O865" s="1676"/>
      <c r="P865" s="1675"/>
      <c r="Q865" s="1675"/>
      <c r="R865" s="1675"/>
      <c r="S865" s="1675"/>
      <c r="T865" s="1675"/>
      <c r="U865" s="1675"/>
      <c r="V865" s="1675"/>
      <c r="W865" s="1675"/>
      <c r="X865" s="1675"/>
      <c r="Y865" s="1675"/>
      <c r="Z865" s="1675"/>
      <c r="AA865" s="1675"/>
    </row>
    <row r="866" spans="1:27" ht="13.5" customHeight="1" x14ac:dyDescent="0.3">
      <c r="A866" s="1675"/>
      <c r="B866" s="1675"/>
      <c r="C866" s="1678"/>
      <c r="D866" s="1771"/>
      <c r="E866" s="1771"/>
      <c r="F866" s="1771"/>
      <c r="G866" s="1689"/>
      <c r="H866" s="1674"/>
      <c r="I866" s="1675"/>
      <c r="J866" s="1675"/>
      <c r="K866" s="1675"/>
      <c r="L866" s="1675"/>
      <c r="M866" s="1676"/>
      <c r="N866" s="1676"/>
      <c r="O866" s="1676"/>
      <c r="P866" s="1675"/>
      <c r="Q866" s="1675"/>
      <c r="R866" s="1675"/>
      <c r="S866" s="1675"/>
      <c r="T866" s="1675"/>
      <c r="U866" s="1675"/>
      <c r="V866" s="1675"/>
      <c r="W866" s="1675"/>
      <c r="X866" s="1675"/>
      <c r="Y866" s="1675"/>
      <c r="Z866" s="1675"/>
      <c r="AA866" s="1675"/>
    </row>
    <row r="867" spans="1:27" ht="13.5" customHeight="1" x14ac:dyDescent="0.3">
      <c r="A867" s="1675"/>
      <c r="B867" s="1675"/>
      <c r="C867" s="1678"/>
      <c r="D867" s="1771"/>
      <c r="E867" s="1771"/>
      <c r="F867" s="1771"/>
      <c r="G867" s="1689"/>
      <c r="H867" s="1674"/>
      <c r="I867" s="1675"/>
      <c r="J867" s="1675"/>
      <c r="K867" s="1675"/>
      <c r="L867" s="1675"/>
      <c r="M867" s="1676"/>
      <c r="N867" s="1676"/>
      <c r="O867" s="1676"/>
      <c r="P867" s="1675"/>
      <c r="Q867" s="1675"/>
      <c r="R867" s="1675"/>
      <c r="S867" s="1675"/>
      <c r="T867" s="1675"/>
      <c r="U867" s="1675"/>
      <c r="V867" s="1675"/>
      <c r="W867" s="1675"/>
      <c r="X867" s="1675"/>
      <c r="Y867" s="1675"/>
      <c r="Z867" s="1675"/>
      <c r="AA867" s="1675"/>
    </row>
    <row r="868" spans="1:27" ht="13.5" customHeight="1" x14ac:dyDescent="0.3">
      <c r="A868" s="1675"/>
      <c r="B868" s="1675"/>
      <c r="C868" s="1678"/>
      <c r="D868" s="1771"/>
      <c r="E868" s="1771"/>
      <c r="F868" s="1771"/>
      <c r="G868" s="1689"/>
      <c r="H868" s="1674"/>
      <c r="I868" s="1675"/>
      <c r="J868" s="1675"/>
      <c r="K868" s="1675"/>
      <c r="L868" s="1675"/>
      <c r="M868" s="1676"/>
      <c r="N868" s="1676"/>
      <c r="O868" s="1676"/>
      <c r="P868" s="1675"/>
      <c r="Q868" s="1675"/>
      <c r="R868" s="1675"/>
      <c r="S868" s="1675"/>
      <c r="T868" s="1675"/>
      <c r="U868" s="1675"/>
      <c r="V868" s="1675"/>
      <c r="W868" s="1675"/>
      <c r="X868" s="1675"/>
      <c r="Y868" s="1675"/>
      <c r="Z868" s="1675"/>
      <c r="AA868" s="1675"/>
    </row>
    <row r="869" spans="1:27" ht="13.5" customHeight="1" x14ac:dyDescent="0.3">
      <c r="A869" s="1675"/>
      <c r="B869" s="1675"/>
      <c r="C869" s="1678"/>
      <c r="D869" s="1771"/>
      <c r="E869" s="1771"/>
      <c r="F869" s="1771"/>
      <c r="G869" s="1689"/>
      <c r="H869" s="1674"/>
      <c r="I869" s="1675"/>
      <c r="J869" s="1675"/>
      <c r="K869" s="1675"/>
      <c r="L869" s="1675"/>
      <c r="M869" s="1676"/>
      <c r="N869" s="1676"/>
      <c r="O869" s="1676"/>
      <c r="P869" s="1675"/>
      <c r="Q869" s="1675"/>
      <c r="R869" s="1675"/>
      <c r="S869" s="1675"/>
      <c r="T869" s="1675"/>
      <c r="U869" s="1675"/>
      <c r="V869" s="1675"/>
      <c r="W869" s="1675"/>
      <c r="X869" s="1675"/>
      <c r="Y869" s="1675"/>
      <c r="Z869" s="1675"/>
      <c r="AA869" s="1675"/>
    </row>
    <row r="870" spans="1:27" ht="13.5" customHeight="1" x14ac:dyDescent="0.3">
      <c r="A870" s="1675"/>
      <c r="B870" s="1675"/>
      <c r="C870" s="1678"/>
      <c r="D870" s="1771"/>
      <c r="E870" s="1771"/>
      <c r="F870" s="1771"/>
      <c r="G870" s="1689"/>
      <c r="H870" s="1674"/>
      <c r="I870" s="1675"/>
      <c r="J870" s="1675"/>
      <c r="K870" s="1675"/>
      <c r="L870" s="1675"/>
      <c r="M870" s="1676"/>
      <c r="N870" s="1676"/>
      <c r="O870" s="1676"/>
      <c r="P870" s="1675"/>
      <c r="Q870" s="1675"/>
      <c r="R870" s="1675"/>
      <c r="S870" s="1675"/>
      <c r="T870" s="1675"/>
      <c r="U870" s="1675"/>
      <c r="V870" s="1675"/>
      <c r="W870" s="1675"/>
      <c r="X870" s="1675"/>
      <c r="Y870" s="1675"/>
      <c r="Z870" s="1675"/>
      <c r="AA870" s="1675"/>
    </row>
    <row r="871" spans="1:27" ht="13.5" customHeight="1" x14ac:dyDescent="0.3">
      <c r="A871" s="1675"/>
      <c r="B871" s="1675"/>
      <c r="C871" s="1678"/>
      <c r="D871" s="1771"/>
      <c r="E871" s="1771"/>
      <c r="F871" s="1771"/>
      <c r="G871" s="1689"/>
      <c r="H871" s="1674"/>
      <c r="I871" s="1675"/>
      <c r="J871" s="1675"/>
      <c r="K871" s="1675"/>
      <c r="L871" s="1675"/>
      <c r="M871" s="1676"/>
      <c r="N871" s="1676"/>
      <c r="O871" s="1676"/>
      <c r="P871" s="1675"/>
      <c r="Q871" s="1675"/>
      <c r="R871" s="1675"/>
      <c r="S871" s="1675"/>
      <c r="T871" s="1675"/>
      <c r="U871" s="1675"/>
      <c r="V871" s="1675"/>
      <c r="W871" s="1675"/>
      <c r="X871" s="1675"/>
      <c r="Y871" s="1675"/>
      <c r="Z871" s="1675"/>
      <c r="AA871" s="1675"/>
    </row>
    <row r="872" spans="1:27" ht="13.5" customHeight="1" x14ac:dyDescent="0.3">
      <c r="A872" s="1675"/>
      <c r="B872" s="1675"/>
      <c r="C872" s="1678"/>
      <c r="D872" s="1771"/>
      <c r="E872" s="1771"/>
      <c r="F872" s="1771"/>
      <c r="G872" s="1689"/>
      <c r="H872" s="1674"/>
      <c r="I872" s="1675"/>
      <c r="J872" s="1675"/>
      <c r="K872" s="1675"/>
      <c r="L872" s="1675"/>
      <c r="M872" s="1676"/>
      <c r="N872" s="1676"/>
      <c r="O872" s="1676"/>
      <c r="P872" s="1675"/>
      <c r="Q872" s="1675"/>
      <c r="R872" s="1675"/>
      <c r="S872" s="1675"/>
      <c r="T872" s="1675"/>
      <c r="U872" s="1675"/>
      <c r="V872" s="1675"/>
      <c r="W872" s="1675"/>
      <c r="X872" s="1675"/>
      <c r="Y872" s="1675"/>
      <c r="Z872" s="1675"/>
      <c r="AA872" s="1675"/>
    </row>
    <row r="873" spans="1:27" ht="13.5" customHeight="1" x14ac:dyDescent="0.3">
      <c r="A873" s="1675"/>
      <c r="B873" s="1675"/>
      <c r="C873" s="1678"/>
      <c r="D873" s="1771"/>
      <c r="E873" s="1771"/>
      <c r="F873" s="1771"/>
      <c r="G873" s="1689"/>
      <c r="H873" s="1674"/>
      <c r="I873" s="1675"/>
      <c r="J873" s="1675"/>
      <c r="K873" s="1675"/>
      <c r="L873" s="1675"/>
      <c r="M873" s="1676"/>
      <c r="N873" s="1676"/>
      <c r="O873" s="1676"/>
      <c r="P873" s="1675"/>
      <c r="Q873" s="1675"/>
      <c r="R873" s="1675"/>
      <c r="S873" s="1675"/>
      <c r="T873" s="1675"/>
      <c r="U873" s="1675"/>
      <c r="V873" s="1675"/>
      <c r="W873" s="1675"/>
      <c r="X873" s="1675"/>
      <c r="Y873" s="1675"/>
      <c r="Z873" s="1675"/>
      <c r="AA873" s="1675"/>
    </row>
    <row r="874" spans="1:27" ht="13.5" customHeight="1" x14ac:dyDescent="0.3">
      <c r="A874" s="1675"/>
      <c r="B874" s="1675"/>
      <c r="C874" s="1678"/>
      <c r="D874" s="1771"/>
      <c r="E874" s="1771"/>
      <c r="F874" s="1771"/>
      <c r="G874" s="1689"/>
      <c r="H874" s="1674"/>
      <c r="I874" s="1675"/>
      <c r="J874" s="1675"/>
      <c r="K874" s="1675"/>
      <c r="L874" s="1675"/>
      <c r="M874" s="1676"/>
      <c r="N874" s="1676"/>
      <c r="O874" s="1676"/>
      <c r="P874" s="1675"/>
      <c r="Q874" s="1675"/>
      <c r="R874" s="1675"/>
      <c r="S874" s="1675"/>
      <c r="T874" s="1675"/>
      <c r="U874" s="1675"/>
      <c r="V874" s="1675"/>
      <c r="W874" s="1675"/>
      <c r="X874" s="1675"/>
      <c r="Y874" s="1675"/>
      <c r="Z874" s="1675"/>
      <c r="AA874" s="1675"/>
    </row>
    <row r="875" spans="1:27" ht="13.5" customHeight="1" x14ac:dyDescent="0.3">
      <c r="A875" s="1675"/>
      <c r="B875" s="1675"/>
      <c r="C875" s="1678"/>
      <c r="D875" s="1771"/>
      <c r="E875" s="1771"/>
      <c r="F875" s="1771"/>
      <c r="G875" s="1689"/>
      <c r="H875" s="1674"/>
      <c r="I875" s="1675"/>
      <c r="J875" s="1675"/>
      <c r="K875" s="1675"/>
      <c r="L875" s="1675"/>
      <c r="M875" s="1676"/>
      <c r="N875" s="1676"/>
      <c r="O875" s="1676"/>
      <c r="P875" s="1675"/>
      <c r="Q875" s="1675"/>
      <c r="R875" s="1675"/>
      <c r="S875" s="1675"/>
      <c r="T875" s="1675"/>
      <c r="U875" s="1675"/>
      <c r="V875" s="1675"/>
      <c r="W875" s="1675"/>
      <c r="X875" s="1675"/>
      <c r="Y875" s="1675"/>
      <c r="Z875" s="1675"/>
      <c r="AA875" s="1675"/>
    </row>
    <row r="876" spans="1:27" ht="13.5" customHeight="1" x14ac:dyDescent="0.3">
      <c r="A876" s="1675"/>
      <c r="B876" s="1675"/>
      <c r="C876" s="1678"/>
      <c r="D876" s="1771"/>
      <c r="E876" s="1771"/>
      <c r="F876" s="1771"/>
      <c r="G876" s="1689"/>
      <c r="H876" s="1674"/>
      <c r="I876" s="1675"/>
      <c r="J876" s="1675"/>
      <c r="K876" s="1675"/>
      <c r="L876" s="1675"/>
      <c r="M876" s="1676"/>
      <c r="N876" s="1676"/>
      <c r="O876" s="1676"/>
      <c r="P876" s="1675"/>
      <c r="Q876" s="1675"/>
      <c r="R876" s="1675"/>
      <c r="S876" s="1675"/>
      <c r="T876" s="1675"/>
      <c r="U876" s="1675"/>
      <c r="V876" s="1675"/>
      <c r="W876" s="1675"/>
      <c r="X876" s="1675"/>
      <c r="Y876" s="1675"/>
      <c r="Z876" s="1675"/>
      <c r="AA876" s="1675"/>
    </row>
    <row r="877" spans="1:27" ht="13.5" customHeight="1" x14ac:dyDescent="0.3">
      <c r="A877" s="1675"/>
      <c r="B877" s="1675"/>
      <c r="C877" s="1678"/>
      <c r="D877" s="1771"/>
      <c r="E877" s="1771"/>
      <c r="F877" s="1771"/>
      <c r="G877" s="1689"/>
      <c r="H877" s="1674"/>
      <c r="I877" s="1675"/>
      <c r="J877" s="1675"/>
      <c r="K877" s="1675"/>
      <c r="L877" s="1675"/>
      <c r="M877" s="1676"/>
      <c r="N877" s="1676"/>
      <c r="O877" s="1676"/>
      <c r="P877" s="1675"/>
      <c r="Q877" s="1675"/>
      <c r="R877" s="1675"/>
      <c r="S877" s="1675"/>
      <c r="T877" s="1675"/>
      <c r="U877" s="1675"/>
      <c r="V877" s="1675"/>
      <c r="W877" s="1675"/>
      <c r="X877" s="1675"/>
      <c r="Y877" s="1675"/>
      <c r="Z877" s="1675"/>
      <c r="AA877" s="1675"/>
    </row>
    <row r="878" spans="1:27" ht="13.5" customHeight="1" x14ac:dyDescent="0.3">
      <c r="A878" s="1675"/>
      <c r="B878" s="1675"/>
      <c r="C878" s="1678"/>
      <c r="D878" s="1771"/>
      <c r="E878" s="1771"/>
      <c r="F878" s="1771"/>
      <c r="G878" s="1689"/>
      <c r="H878" s="1674"/>
      <c r="I878" s="1675"/>
      <c r="J878" s="1675"/>
      <c r="K878" s="1675"/>
      <c r="L878" s="1675"/>
      <c r="M878" s="1676"/>
      <c r="N878" s="1676"/>
      <c r="O878" s="1676"/>
      <c r="P878" s="1675"/>
      <c r="Q878" s="1675"/>
      <c r="R878" s="1675"/>
      <c r="S878" s="1675"/>
      <c r="T878" s="1675"/>
      <c r="U878" s="1675"/>
      <c r="V878" s="1675"/>
      <c r="W878" s="1675"/>
      <c r="X878" s="1675"/>
      <c r="Y878" s="1675"/>
      <c r="Z878" s="1675"/>
      <c r="AA878" s="1675"/>
    </row>
    <row r="879" spans="1:27" ht="13.5" customHeight="1" x14ac:dyDescent="0.3">
      <c r="A879" s="1675"/>
      <c r="B879" s="1675"/>
      <c r="C879" s="1678"/>
      <c r="D879" s="1771"/>
      <c r="E879" s="1771"/>
      <c r="F879" s="1771"/>
      <c r="G879" s="1689"/>
      <c r="H879" s="1674"/>
      <c r="I879" s="1675"/>
      <c r="J879" s="1675"/>
      <c r="K879" s="1675"/>
      <c r="L879" s="1675"/>
      <c r="M879" s="1676"/>
      <c r="N879" s="1676"/>
      <c r="O879" s="1676"/>
      <c r="P879" s="1675"/>
      <c r="Q879" s="1675"/>
      <c r="R879" s="1675"/>
      <c r="S879" s="1675"/>
      <c r="T879" s="1675"/>
      <c r="U879" s="1675"/>
      <c r="V879" s="1675"/>
      <c r="W879" s="1675"/>
      <c r="X879" s="1675"/>
      <c r="Y879" s="1675"/>
      <c r="Z879" s="1675"/>
      <c r="AA879" s="1675"/>
    </row>
    <row r="880" spans="1:27" ht="13.5" customHeight="1" x14ac:dyDescent="0.3">
      <c r="A880" s="1675"/>
      <c r="B880" s="1675"/>
      <c r="C880" s="1678"/>
      <c r="D880" s="1771"/>
      <c r="E880" s="1771"/>
      <c r="F880" s="1771"/>
      <c r="G880" s="1689"/>
      <c r="H880" s="1674"/>
      <c r="I880" s="1675"/>
      <c r="J880" s="1675"/>
      <c r="K880" s="1675"/>
      <c r="L880" s="1675"/>
      <c r="M880" s="1676"/>
      <c r="N880" s="1676"/>
      <c r="O880" s="1676"/>
      <c r="P880" s="1675"/>
      <c r="Q880" s="1675"/>
      <c r="R880" s="1675"/>
      <c r="S880" s="1675"/>
      <c r="T880" s="1675"/>
      <c r="U880" s="1675"/>
      <c r="V880" s="1675"/>
      <c r="W880" s="1675"/>
      <c r="X880" s="1675"/>
      <c r="Y880" s="1675"/>
      <c r="Z880" s="1675"/>
      <c r="AA880" s="1675"/>
    </row>
    <row r="881" spans="1:27" ht="13.5" customHeight="1" x14ac:dyDescent="0.3">
      <c r="A881" s="1675"/>
      <c r="B881" s="1675"/>
      <c r="C881" s="1678"/>
      <c r="D881" s="1771"/>
      <c r="E881" s="1771"/>
      <c r="F881" s="1771"/>
      <c r="G881" s="1689"/>
      <c r="H881" s="1674"/>
      <c r="I881" s="1675"/>
      <c r="J881" s="1675"/>
      <c r="K881" s="1675"/>
      <c r="L881" s="1675"/>
      <c r="M881" s="1676"/>
      <c r="N881" s="1676"/>
      <c r="O881" s="1676"/>
      <c r="P881" s="1675"/>
      <c r="Q881" s="1675"/>
      <c r="R881" s="1675"/>
      <c r="S881" s="1675"/>
      <c r="T881" s="1675"/>
      <c r="U881" s="1675"/>
      <c r="V881" s="1675"/>
      <c r="W881" s="1675"/>
      <c r="X881" s="1675"/>
      <c r="Y881" s="1675"/>
      <c r="Z881" s="1675"/>
      <c r="AA881" s="1675"/>
    </row>
    <row r="882" spans="1:27" ht="13.5" customHeight="1" x14ac:dyDescent="0.3">
      <c r="A882" s="1675"/>
      <c r="B882" s="1675"/>
      <c r="C882" s="1678"/>
      <c r="D882" s="1771"/>
      <c r="E882" s="1771"/>
      <c r="F882" s="1771"/>
      <c r="G882" s="1689"/>
      <c r="H882" s="1674"/>
      <c r="I882" s="1675"/>
      <c r="J882" s="1675"/>
      <c r="K882" s="1675"/>
      <c r="L882" s="1675"/>
      <c r="M882" s="1676"/>
      <c r="N882" s="1676"/>
      <c r="O882" s="1676"/>
      <c r="P882" s="1675"/>
      <c r="Q882" s="1675"/>
      <c r="R882" s="1675"/>
      <c r="S882" s="1675"/>
      <c r="T882" s="1675"/>
      <c r="U882" s="1675"/>
      <c r="V882" s="1675"/>
      <c r="W882" s="1675"/>
      <c r="X882" s="1675"/>
      <c r="Y882" s="1675"/>
      <c r="Z882" s="1675"/>
      <c r="AA882" s="1675"/>
    </row>
    <row r="883" spans="1:27" ht="13.5" customHeight="1" x14ac:dyDescent="0.3">
      <c r="A883" s="1675"/>
      <c r="B883" s="1675"/>
      <c r="C883" s="1678"/>
      <c r="D883" s="1771"/>
      <c r="E883" s="1771"/>
      <c r="F883" s="1771"/>
      <c r="G883" s="1689"/>
      <c r="H883" s="1674"/>
      <c r="I883" s="1675"/>
      <c r="J883" s="1675"/>
      <c r="K883" s="1675"/>
      <c r="L883" s="1675"/>
      <c r="M883" s="1676"/>
      <c r="N883" s="1676"/>
      <c r="O883" s="1676"/>
      <c r="P883" s="1675"/>
      <c r="Q883" s="1675"/>
      <c r="R883" s="1675"/>
      <c r="S883" s="1675"/>
      <c r="T883" s="1675"/>
      <c r="U883" s="1675"/>
      <c r="V883" s="1675"/>
      <c r="W883" s="1675"/>
      <c r="X883" s="1675"/>
      <c r="Y883" s="1675"/>
      <c r="Z883" s="1675"/>
      <c r="AA883" s="1675"/>
    </row>
    <row r="884" spans="1:27" ht="13.5" customHeight="1" x14ac:dyDescent="0.3">
      <c r="A884" s="1675"/>
      <c r="B884" s="1675"/>
      <c r="C884" s="1678"/>
      <c r="D884" s="1771"/>
      <c r="E884" s="1771"/>
      <c r="F884" s="1771"/>
      <c r="G884" s="1689"/>
      <c r="H884" s="1674"/>
      <c r="I884" s="1675"/>
      <c r="J884" s="1675"/>
      <c r="K884" s="1675"/>
      <c r="L884" s="1675"/>
      <c r="M884" s="1676"/>
      <c r="N884" s="1676"/>
      <c r="O884" s="1676"/>
      <c r="P884" s="1675"/>
      <c r="Q884" s="1675"/>
      <c r="R884" s="1675"/>
      <c r="S884" s="1675"/>
      <c r="T884" s="1675"/>
      <c r="U884" s="1675"/>
      <c r="V884" s="1675"/>
      <c r="W884" s="1675"/>
      <c r="X884" s="1675"/>
      <c r="Y884" s="1675"/>
      <c r="Z884" s="1675"/>
      <c r="AA884" s="1675"/>
    </row>
    <row r="885" spans="1:27" ht="13.5" customHeight="1" x14ac:dyDescent="0.3">
      <c r="A885" s="1675"/>
      <c r="B885" s="1675"/>
      <c r="C885" s="1678"/>
      <c r="D885" s="1771"/>
      <c r="E885" s="1771"/>
      <c r="F885" s="1771"/>
      <c r="G885" s="1689"/>
      <c r="H885" s="1674"/>
      <c r="I885" s="1675"/>
      <c r="J885" s="1675"/>
      <c r="K885" s="1675"/>
      <c r="L885" s="1675"/>
      <c r="M885" s="1676"/>
      <c r="N885" s="1676"/>
      <c r="O885" s="1676"/>
      <c r="P885" s="1675"/>
      <c r="Q885" s="1675"/>
      <c r="R885" s="1675"/>
      <c r="S885" s="1675"/>
      <c r="T885" s="1675"/>
      <c r="U885" s="1675"/>
      <c r="V885" s="1675"/>
      <c r="W885" s="1675"/>
      <c r="X885" s="1675"/>
      <c r="Y885" s="1675"/>
      <c r="Z885" s="1675"/>
      <c r="AA885" s="1675"/>
    </row>
    <row r="886" spans="1:27" ht="13.5" customHeight="1" x14ac:dyDescent="0.3">
      <c r="A886" s="1675"/>
      <c r="B886" s="1675"/>
      <c r="C886" s="1678"/>
      <c r="D886" s="1771"/>
      <c r="E886" s="1771"/>
      <c r="F886" s="1771"/>
      <c r="G886" s="1689"/>
      <c r="H886" s="1674"/>
      <c r="I886" s="1675"/>
      <c r="J886" s="1675"/>
      <c r="K886" s="1675"/>
      <c r="L886" s="1675"/>
      <c r="M886" s="1676"/>
      <c r="N886" s="1676"/>
      <c r="O886" s="1676"/>
      <c r="P886" s="1675"/>
      <c r="Q886" s="1675"/>
      <c r="R886" s="1675"/>
      <c r="S886" s="1675"/>
      <c r="T886" s="1675"/>
      <c r="U886" s="1675"/>
      <c r="V886" s="1675"/>
      <c r="W886" s="1675"/>
      <c r="X886" s="1675"/>
      <c r="Y886" s="1675"/>
      <c r="Z886" s="1675"/>
      <c r="AA886" s="1675"/>
    </row>
    <row r="887" spans="1:27" ht="13.5" customHeight="1" x14ac:dyDescent="0.3">
      <c r="A887" s="1675"/>
      <c r="B887" s="1675"/>
      <c r="C887" s="1678"/>
      <c r="D887" s="1771"/>
      <c r="E887" s="1771"/>
      <c r="F887" s="1771"/>
      <c r="G887" s="1689"/>
      <c r="H887" s="1674"/>
      <c r="I887" s="1675"/>
      <c r="J887" s="1675"/>
      <c r="K887" s="1675"/>
      <c r="L887" s="1675"/>
      <c r="M887" s="1676"/>
      <c r="N887" s="1676"/>
      <c r="O887" s="1676"/>
      <c r="P887" s="1675"/>
      <c r="Q887" s="1675"/>
      <c r="R887" s="1675"/>
      <c r="S887" s="1675"/>
      <c r="T887" s="1675"/>
      <c r="U887" s="1675"/>
      <c r="V887" s="1675"/>
      <c r="W887" s="1675"/>
      <c r="X887" s="1675"/>
      <c r="Y887" s="1675"/>
      <c r="Z887" s="1675"/>
      <c r="AA887" s="1675"/>
    </row>
    <row r="888" spans="1:27" ht="13.5" customHeight="1" x14ac:dyDescent="0.3">
      <c r="A888" s="1675"/>
      <c r="B888" s="1675"/>
      <c r="C888" s="1678"/>
      <c r="D888" s="1771"/>
      <c r="E888" s="1771"/>
      <c r="F888" s="1771"/>
      <c r="G888" s="1689"/>
      <c r="H888" s="1674"/>
      <c r="I888" s="1675"/>
      <c r="J888" s="1675"/>
      <c r="K888" s="1675"/>
      <c r="L888" s="1675"/>
      <c r="M888" s="1676"/>
      <c r="N888" s="1676"/>
      <c r="O888" s="1676"/>
      <c r="P888" s="1675"/>
      <c r="Q888" s="1675"/>
      <c r="R888" s="1675"/>
      <c r="S888" s="1675"/>
      <c r="T888" s="1675"/>
      <c r="U888" s="1675"/>
      <c r="V888" s="1675"/>
      <c r="W888" s="1675"/>
      <c r="X888" s="1675"/>
      <c r="Y888" s="1675"/>
      <c r="Z888" s="1675"/>
      <c r="AA888" s="1675"/>
    </row>
    <row r="889" spans="1:27" ht="13.5" customHeight="1" x14ac:dyDescent="0.3">
      <c r="A889" s="1675"/>
      <c r="B889" s="1675"/>
      <c r="C889" s="1678"/>
      <c r="D889" s="1771"/>
      <c r="E889" s="1771"/>
      <c r="F889" s="1771"/>
      <c r="G889" s="1689"/>
      <c r="H889" s="1674"/>
      <c r="I889" s="1675"/>
      <c r="J889" s="1675"/>
      <c r="K889" s="1675"/>
      <c r="L889" s="1675"/>
      <c r="M889" s="1676"/>
      <c r="N889" s="1676"/>
      <c r="O889" s="1676"/>
      <c r="P889" s="1675"/>
      <c r="Q889" s="1675"/>
      <c r="R889" s="1675"/>
      <c r="S889" s="1675"/>
      <c r="T889" s="1675"/>
      <c r="U889" s="1675"/>
      <c r="V889" s="1675"/>
      <c r="W889" s="1675"/>
      <c r="X889" s="1675"/>
      <c r="Y889" s="1675"/>
      <c r="Z889" s="1675"/>
      <c r="AA889" s="1675"/>
    </row>
    <row r="890" spans="1:27" ht="13.5" customHeight="1" x14ac:dyDescent="0.3">
      <c r="A890" s="1675"/>
      <c r="B890" s="1675"/>
      <c r="C890" s="1678"/>
      <c r="D890" s="1771"/>
      <c r="E890" s="1771"/>
      <c r="F890" s="1771"/>
      <c r="G890" s="1689"/>
      <c r="H890" s="1674"/>
      <c r="I890" s="1675"/>
      <c r="J890" s="1675"/>
      <c r="K890" s="1675"/>
      <c r="L890" s="1675"/>
      <c r="M890" s="1676"/>
      <c r="N890" s="1676"/>
      <c r="O890" s="1676"/>
      <c r="P890" s="1675"/>
      <c r="Q890" s="1675"/>
      <c r="R890" s="1675"/>
      <c r="S890" s="1675"/>
      <c r="T890" s="1675"/>
      <c r="U890" s="1675"/>
      <c r="V890" s="1675"/>
      <c r="W890" s="1675"/>
      <c r="X890" s="1675"/>
      <c r="Y890" s="1675"/>
      <c r="Z890" s="1675"/>
      <c r="AA890" s="1675"/>
    </row>
    <row r="891" spans="1:27" ht="13.5" customHeight="1" x14ac:dyDescent="0.3">
      <c r="A891" s="1675"/>
      <c r="B891" s="1675"/>
      <c r="C891" s="1678"/>
      <c r="D891" s="1771"/>
      <c r="E891" s="1771"/>
      <c r="F891" s="1771"/>
      <c r="G891" s="1689"/>
      <c r="H891" s="1674"/>
      <c r="I891" s="1675"/>
      <c r="J891" s="1675"/>
      <c r="K891" s="1675"/>
      <c r="L891" s="1675"/>
      <c r="M891" s="1676"/>
      <c r="N891" s="1676"/>
      <c r="O891" s="1676"/>
      <c r="P891" s="1675"/>
      <c r="Q891" s="1675"/>
      <c r="R891" s="1675"/>
      <c r="S891" s="1675"/>
      <c r="T891" s="1675"/>
      <c r="U891" s="1675"/>
      <c r="V891" s="1675"/>
      <c r="W891" s="1675"/>
      <c r="X891" s="1675"/>
      <c r="Y891" s="1675"/>
      <c r="Z891" s="1675"/>
      <c r="AA891" s="1675"/>
    </row>
    <row r="892" spans="1:27" ht="13.5" customHeight="1" x14ac:dyDescent="0.3">
      <c r="A892" s="1675"/>
      <c r="B892" s="1675"/>
      <c r="C892" s="1678"/>
      <c r="D892" s="1771"/>
      <c r="E892" s="1771"/>
      <c r="F892" s="1771"/>
      <c r="G892" s="1689"/>
      <c r="H892" s="1674"/>
      <c r="I892" s="1675"/>
      <c r="J892" s="1675"/>
      <c r="K892" s="1675"/>
      <c r="L892" s="1675"/>
      <c r="M892" s="1676"/>
      <c r="N892" s="1676"/>
      <c r="O892" s="1676"/>
      <c r="P892" s="1675"/>
      <c r="Q892" s="1675"/>
      <c r="R892" s="1675"/>
      <c r="S892" s="1675"/>
      <c r="T892" s="1675"/>
      <c r="U892" s="1675"/>
      <c r="V892" s="1675"/>
      <c r="W892" s="1675"/>
      <c r="X892" s="1675"/>
      <c r="Y892" s="1675"/>
      <c r="Z892" s="1675"/>
      <c r="AA892" s="1675"/>
    </row>
    <row r="893" spans="1:27" ht="13.5" customHeight="1" x14ac:dyDescent="0.3">
      <c r="A893" s="1675"/>
      <c r="B893" s="1675"/>
      <c r="C893" s="1678"/>
      <c r="D893" s="1771"/>
      <c r="E893" s="1771"/>
      <c r="F893" s="1771"/>
      <c r="G893" s="1689"/>
      <c r="H893" s="1674"/>
      <c r="I893" s="1675"/>
      <c r="J893" s="1675"/>
      <c r="K893" s="1675"/>
      <c r="L893" s="1675"/>
      <c r="M893" s="1676"/>
      <c r="N893" s="1676"/>
      <c r="O893" s="1676"/>
      <c r="P893" s="1675"/>
      <c r="Q893" s="1675"/>
      <c r="R893" s="1675"/>
      <c r="S893" s="1675"/>
      <c r="T893" s="1675"/>
      <c r="U893" s="1675"/>
      <c r="V893" s="1675"/>
      <c r="W893" s="1675"/>
      <c r="X893" s="1675"/>
      <c r="Y893" s="1675"/>
      <c r="Z893" s="1675"/>
      <c r="AA893" s="1675"/>
    </row>
    <row r="894" spans="1:27" ht="13.5" customHeight="1" x14ac:dyDescent="0.3">
      <c r="A894" s="1675"/>
      <c r="B894" s="1675"/>
      <c r="C894" s="1678"/>
      <c r="D894" s="1771"/>
      <c r="E894" s="1771"/>
      <c r="F894" s="1771"/>
      <c r="G894" s="1689"/>
      <c r="H894" s="1674"/>
      <c r="I894" s="1675"/>
      <c r="J894" s="1675"/>
      <c r="K894" s="1675"/>
      <c r="L894" s="1675"/>
      <c r="M894" s="1676"/>
      <c r="N894" s="1676"/>
      <c r="O894" s="1676"/>
      <c r="P894" s="1675"/>
      <c r="Q894" s="1675"/>
      <c r="R894" s="1675"/>
      <c r="S894" s="1675"/>
      <c r="T894" s="1675"/>
      <c r="U894" s="1675"/>
      <c r="V894" s="1675"/>
      <c r="W894" s="1675"/>
      <c r="X894" s="1675"/>
      <c r="Y894" s="1675"/>
      <c r="Z894" s="1675"/>
      <c r="AA894" s="1675"/>
    </row>
    <row r="895" spans="1:27" ht="13.5" customHeight="1" x14ac:dyDescent="0.3">
      <c r="A895" s="1675"/>
      <c r="B895" s="1675"/>
      <c r="C895" s="1678"/>
      <c r="D895" s="1771"/>
      <c r="E895" s="1771"/>
      <c r="F895" s="1771"/>
      <c r="G895" s="1689"/>
      <c r="H895" s="1674"/>
      <c r="I895" s="1675"/>
      <c r="J895" s="1675"/>
      <c r="K895" s="1675"/>
      <c r="L895" s="1675"/>
      <c r="M895" s="1676"/>
      <c r="N895" s="1676"/>
      <c r="O895" s="1676"/>
      <c r="P895" s="1675"/>
      <c r="Q895" s="1675"/>
      <c r="R895" s="1675"/>
      <c r="S895" s="1675"/>
      <c r="T895" s="1675"/>
      <c r="U895" s="1675"/>
      <c r="V895" s="1675"/>
      <c r="W895" s="1675"/>
      <c r="X895" s="1675"/>
      <c r="Y895" s="1675"/>
      <c r="Z895" s="1675"/>
      <c r="AA895" s="1675"/>
    </row>
    <row r="896" spans="1:27" ht="13.5" customHeight="1" x14ac:dyDescent="0.3">
      <c r="A896" s="1675"/>
      <c r="B896" s="1675"/>
      <c r="C896" s="1678"/>
      <c r="D896" s="1771"/>
      <c r="E896" s="1771"/>
      <c r="F896" s="1771"/>
      <c r="G896" s="1689"/>
      <c r="H896" s="1674"/>
      <c r="I896" s="1675"/>
      <c r="J896" s="1675"/>
      <c r="K896" s="1675"/>
      <c r="L896" s="1675"/>
      <c r="M896" s="1676"/>
      <c r="N896" s="1676"/>
      <c r="O896" s="1676"/>
      <c r="P896" s="1675"/>
      <c r="Q896" s="1675"/>
      <c r="R896" s="1675"/>
      <c r="S896" s="1675"/>
      <c r="T896" s="1675"/>
      <c r="U896" s="1675"/>
      <c r="V896" s="1675"/>
      <c r="W896" s="1675"/>
      <c r="X896" s="1675"/>
      <c r="Y896" s="1675"/>
      <c r="Z896" s="1675"/>
      <c r="AA896" s="1675"/>
    </row>
    <row r="897" spans="1:27" ht="13.5" customHeight="1" x14ac:dyDescent="0.3">
      <c r="A897" s="1675"/>
      <c r="B897" s="1675"/>
      <c r="C897" s="1678"/>
      <c r="D897" s="1771"/>
      <c r="E897" s="1771"/>
      <c r="F897" s="1771"/>
      <c r="G897" s="1689"/>
      <c r="H897" s="1674"/>
      <c r="I897" s="1675"/>
      <c r="J897" s="1675"/>
      <c r="K897" s="1675"/>
      <c r="L897" s="1675"/>
      <c r="M897" s="1676"/>
      <c r="N897" s="1676"/>
      <c r="O897" s="1676"/>
      <c r="P897" s="1675"/>
      <c r="Q897" s="1675"/>
      <c r="R897" s="1675"/>
      <c r="S897" s="1675"/>
      <c r="T897" s="1675"/>
      <c r="U897" s="1675"/>
      <c r="V897" s="1675"/>
      <c r="W897" s="1675"/>
      <c r="X897" s="1675"/>
      <c r="Y897" s="1675"/>
      <c r="Z897" s="1675"/>
      <c r="AA897" s="1675"/>
    </row>
    <row r="898" spans="1:27" ht="13.5" customHeight="1" x14ac:dyDescent="0.3">
      <c r="A898" s="1675"/>
      <c r="B898" s="1675"/>
      <c r="C898" s="1678"/>
      <c r="D898" s="1771"/>
      <c r="E898" s="1771"/>
      <c r="F898" s="1771"/>
      <c r="G898" s="1689"/>
      <c r="H898" s="1674"/>
      <c r="I898" s="1675"/>
      <c r="J898" s="1675"/>
      <c r="K898" s="1675"/>
      <c r="L898" s="1675"/>
      <c r="M898" s="1676"/>
      <c r="N898" s="1676"/>
      <c r="O898" s="1676"/>
      <c r="P898" s="1675"/>
      <c r="Q898" s="1675"/>
      <c r="R898" s="1675"/>
      <c r="S898" s="1675"/>
      <c r="T898" s="1675"/>
      <c r="U898" s="1675"/>
      <c r="V898" s="1675"/>
      <c r="W898" s="1675"/>
      <c r="X898" s="1675"/>
      <c r="Y898" s="1675"/>
      <c r="Z898" s="1675"/>
      <c r="AA898" s="1675"/>
    </row>
    <row r="899" spans="1:27" ht="13.5" customHeight="1" x14ac:dyDescent="0.3">
      <c r="A899" s="1675"/>
      <c r="B899" s="1675"/>
      <c r="C899" s="1678"/>
      <c r="D899" s="1771"/>
      <c r="E899" s="1771"/>
      <c r="F899" s="1771"/>
      <c r="G899" s="1689"/>
      <c r="H899" s="1674"/>
      <c r="I899" s="1675"/>
      <c r="J899" s="1675"/>
      <c r="K899" s="1675"/>
      <c r="L899" s="1675"/>
      <c r="M899" s="1676"/>
      <c r="N899" s="1676"/>
      <c r="O899" s="1676"/>
      <c r="P899" s="1675"/>
      <c r="Q899" s="1675"/>
      <c r="R899" s="1675"/>
      <c r="S899" s="1675"/>
      <c r="T899" s="1675"/>
      <c r="U899" s="1675"/>
      <c r="V899" s="1675"/>
      <c r="W899" s="1675"/>
      <c r="X899" s="1675"/>
      <c r="Y899" s="1675"/>
      <c r="Z899" s="1675"/>
      <c r="AA899" s="1675"/>
    </row>
    <row r="900" spans="1:27" ht="13.5" customHeight="1" x14ac:dyDescent="0.3">
      <c r="A900" s="1675"/>
      <c r="B900" s="1675"/>
      <c r="C900" s="1678"/>
      <c r="D900" s="1771"/>
      <c r="E900" s="1771"/>
      <c r="F900" s="1771"/>
      <c r="G900" s="1689"/>
      <c r="H900" s="1674"/>
      <c r="I900" s="1675"/>
      <c r="J900" s="1675"/>
      <c r="K900" s="1675"/>
      <c r="L900" s="1675"/>
      <c r="M900" s="1676"/>
      <c r="N900" s="1676"/>
      <c r="O900" s="1676"/>
      <c r="P900" s="1675"/>
      <c r="Q900" s="1675"/>
      <c r="R900" s="1675"/>
      <c r="S900" s="1675"/>
      <c r="T900" s="1675"/>
      <c r="U900" s="1675"/>
      <c r="V900" s="1675"/>
      <c r="W900" s="1675"/>
      <c r="X900" s="1675"/>
      <c r="Y900" s="1675"/>
      <c r="Z900" s="1675"/>
      <c r="AA900" s="1675"/>
    </row>
    <row r="901" spans="1:27" ht="13.5" customHeight="1" x14ac:dyDescent="0.3">
      <c r="A901" s="1675"/>
      <c r="B901" s="1675"/>
      <c r="C901" s="1678"/>
      <c r="D901" s="1771"/>
      <c r="E901" s="1771"/>
      <c r="F901" s="1771"/>
      <c r="G901" s="1689"/>
      <c r="H901" s="1674"/>
      <c r="I901" s="1675"/>
      <c r="J901" s="1675"/>
      <c r="K901" s="1675"/>
      <c r="L901" s="1675"/>
      <c r="M901" s="1676"/>
      <c r="N901" s="1676"/>
      <c r="O901" s="1676"/>
      <c r="P901" s="1675"/>
      <c r="Q901" s="1675"/>
      <c r="R901" s="1675"/>
      <c r="S901" s="1675"/>
      <c r="T901" s="1675"/>
      <c r="U901" s="1675"/>
      <c r="V901" s="1675"/>
      <c r="W901" s="1675"/>
      <c r="X901" s="1675"/>
      <c r="Y901" s="1675"/>
      <c r="Z901" s="1675"/>
      <c r="AA901" s="1675"/>
    </row>
    <row r="902" spans="1:27" ht="13.5" customHeight="1" x14ac:dyDescent="0.3">
      <c r="A902" s="1675"/>
      <c r="B902" s="1675"/>
      <c r="C902" s="1678"/>
      <c r="D902" s="1771"/>
      <c r="E902" s="1771"/>
      <c r="F902" s="1771"/>
      <c r="G902" s="1689"/>
      <c r="H902" s="1674"/>
      <c r="I902" s="1675"/>
      <c r="J902" s="1675"/>
      <c r="K902" s="1675"/>
      <c r="L902" s="1675"/>
      <c r="M902" s="1676"/>
      <c r="N902" s="1676"/>
      <c r="O902" s="1676"/>
      <c r="P902" s="1675"/>
      <c r="Q902" s="1675"/>
      <c r="R902" s="1675"/>
      <c r="S902" s="1675"/>
      <c r="T902" s="1675"/>
      <c r="U902" s="1675"/>
      <c r="V902" s="1675"/>
      <c r="W902" s="1675"/>
      <c r="X902" s="1675"/>
      <c r="Y902" s="1675"/>
      <c r="Z902" s="1675"/>
      <c r="AA902" s="1675"/>
    </row>
    <row r="903" spans="1:27" ht="13.5" customHeight="1" x14ac:dyDescent="0.3">
      <c r="A903" s="1675"/>
      <c r="B903" s="1675"/>
      <c r="C903" s="1678"/>
      <c r="D903" s="1771"/>
      <c r="E903" s="1771"/>
      <c r="F903" s="1771"/>
      <c r="G903" s="1689"/>
      <c r="H903" s="1674"/>
      <c r="I903" s="1675"/>
      <c r="J903" s="1675"/>
      <c r="K903" s="1675"/>
      <c r="L903" s="1675"/>
      <c r="M903" s="1676"/>
      <c r="N903" s="1676"/>
      <c r="O903" s="1676"/>
      <c r="P903" s="1675"/>
      <c r="Q903" s="1675"/>
      <c r="R903" s="1675"/>
      <c r="S903" s="1675"/>
      <c r="T903" s="1675"/>
      <c r="U903" s="1675"/>
      <c r="V903" s="1675"/>
      <c r="W903" s="1675"/>
      <c r="X903" s="1675"/>
      <c r="Y903" s="1675"/>
      <c r="Z903" s="1675"/>
      <c r="AA903" s="1675"/>
    </row>
    <row r="904" spans="1:27" ht="13.5" customHeight="1" x14ac:dyDescent="0.3">
      <c r="A904" s="1675"/>
      <c r="B904" s="1675"/>
      <c r="C904" s="1678"/>
      <c r="D904" s="1771"/>
      <c r="E904" s="1771"/>
      <c r="F904" s="1771"/>
      <c r="G904" s="1689"/>
      <c r="H904" s="1674"/>
      <c r="I904" s="1675"/>
      <c r="J904" s="1675"/>
      <c r="K904" s="1675"/>
      <c r="L904" s="1675"/>
      <c r="M904" s="1676"/>
      <c r="N904" s="1676"/>
      <c r="O904" s="1676"/>
      <c r="P904" s="1675"/>
      <c r="Q904" s="1675"/>
      <c r="R904" s="1675"/>
      <c r="S904" s="1675"/>
      <c r="T904" s="1675"/>
      <c r="U904" s="1675"/>
      <c r="V904" s="1675"/>
      <c r="W904" s="1675"/>
      <c r="X904" s="1675"/>
      <c r="Y904" s="1675"/>
      <c r="Z904" s="1675"/>
      <c r="AA904" s="1675"/>
    </row>
    <row r="905" spans="1:27" ht="13.5" customHeight="1" x14ac:dyDescent="0.3">
      <c r="A905" s="1675"/>
      <c r="B905" s="1675"/>
      <c r="C905" s="1678"/>
      <c r="D905" s="1771"/>
      <c r="E905" s="1771"/>
      <c r="F905" s="1771"/>
      <c r="G905" s="1689"/>
      <c r="H905" s="1674"/>
      <c r="I905" s="1675"/>
      <c r="J905" s="1675"/>
      <c r="K905" s="1675"/>
      <c r="L905" s="1675"/>
      <c r="M905" s="1676"/>
      <c r="N905" s="1676"/>
      <c r="O905" s="1676"/>
      <c r="P905" s="1675"/>
      <c r="Q905" s="1675"/>
      <c r="R905" s="1675"/>
      <c r="S905" s="1675"/>
      <c r="T905" s="1675"/>
      <c r="U905" s="1675"/>
      <c r="V905" s="1675"/>
      <c r="W905" s="1675"/>
      <c r="X905" s="1675"/>
      <c r="Y905" s="1675"/>
      <c r="Z905" s="1675"/>
      <c r="AA905" s="1675"/>
    </row>
    <row r="906" spans="1:27" ht="13.5" customHeight="1" x14ac:dyDescent="0.3">
      <c r="A906" s="1675"/>
      <c r="B906" s="1675"/>
      <c r="C906" s="1678"/>
      <c r="D906" s="1771"/>
      <c r="E906" s="1771"/>
      <c r="F906" s="1771"/>
      <c r="G906" s="1689"/>
      <c r="H906" s="1674"/>
      <c r="I906" s="1675"/>
      <c r="J906" s="1675"/>
      <c r="K906" s="1675"/>
      <c r="L906" s="1675"/>
      <c r="M906" s="1676"/>
      <c r="N906" s="1676"/>
      <c r="O906" s="1676"/>
      <c r="P906" s="1675"/>
      <c r="Q906" s="1675"/>
      <c r="R906" s="1675"/>
      <c r="S906" s="1675"/>
      <c r="T906" s="1675"/>
      <c r="U906" s="1675"/>
      <c r="V906" s="1675"/>
      <c r="W906" s="1675"/>
      <c r="X906" s="1675"/>
      <c r="Y906" s="1675"/>
      <c r="Z906" s="1675"/>
      <c r="AA906" s="1675"/>
    </row>
    <row r="907" spans="1:27" ht="13.5" customHeight="1" x14ac:dyDescent="0.3">
      <c r="A907" s="1675"/>
      <c r="B907" s="1675"/>
      <c r="C907" s="1678"/>
      <c r="D907" s="1771"/>
      <c r="E907" s="1771"/>
      <c r="F907" s="1771"/>
      <c r="G907" s="1689"/>
      <c r="H907" s="1674"/>
      <c r="I907" s="1675"/>
      <c r="J907" s="1675"/>
      <c r="K907" s="1675"/>
      <c r="L907" s="1675"/>
      <c r="M907" s="1676"/>
      <c r="N907" s="1676"/>
      <c r="O907" s="1676"/>
      <c r="P907" s="1675"/>
      <c r="Q907" s="1675"/>
      <c r="R907" s="1675"/>
      <c r="S907" s="1675"/>
      <c r="T907" s="1675"/>
      <c r="U907" s="1675"/>
      <c r="V907" s="1675"/>
      <c r="W907" s="1675"/>
      <c r="X907" s="1675"/>
      <c r="Y907" s="1675"/>
      <c r="Z907" s="1675"/>
      <c r="AA907" s="1675"/>
    </row>
    <row r="908" spans="1:27" ht="13.5" customHeight="1" x14ac:dyDescent="0.3">
      <c r="A908" s="1675"/>
      <c r="B908" s="1675"/>
      <c r="C908" s="1678"/>
      <c r="D908" s="1771"/>
      <c r="E908" s="1771"/>
      <c r="F908" s="1771"/>
      <c r="G908" s="1689"/>
      <c r="H908" s="1674"/>
      <c r="I908" s="1675"/>
      <c r="J908" s="1675"/>
      <c r="K908" s="1675"/>
      <c r="L908" s="1675"/>
      <c r="M908" s="1676"/>
      <c r="N908" s="1676"/>
      <c r="O908" s="1676"/>
      <c r="P908" s="1675"/>
      <c r="Q908" s="1675"/>
      <c r="R908" s="1675"/>
      <c r="S908" s="1675"/>
      <c r="T908" s="1675"/>
      <c r="U908" s="1675"/>
      <c r="V908" s="1675"/>
      <c r="W908" s="1675"/>
      <c r="X908" s="1675"/>
      <c r="Y908" s="1675"/>
      <c r="Z908" s="1675"/>
      <c r="AA908" s="1675"/>
    </row>
    <row r="909" spans="1:27" ht="13.5" customHeight="1" x14ac:dyDescent="0.3">
      <c r="A909" s="1675"/>
      <c r="B909" s="1675"/>
      <c r="C909" s="1678"/>
      <c r="D909" s="1771"/>
      <c r="E909" s="1771"/>
      <c r="F909" s="1771"/>
      <c r="G909" s="1689"/>
      <c r="H909" s="1674"/>
      <c r="I909" s="1675"/>
      <c r="J909" s="1675"/>
      <c r="K909" s="1675"/>
      <c r="L909" s="1675"/>
      <c r="M909" s="1676"/>
      <c r="N909" s="1676"/>
      <c r="O909" s="1676"/>
      <c r="P909" s="1675"/>
      <c r="Q909" s="1675"/>
      <c r="R909" s="1675"/>
      <c r="S909" s="1675"/>
      <c r="T909" s="1675"/>
      <c r="U909" s="1675"/>
      <c r="V909" s="1675"/>
      <c r="W909" s="1675"/>
      <c r="X909" s="1675"/>
      <c r="Y909" s="1675"/>
      <c r="Z909" s="1675"/>
      <c r="AA909" s="1675"/>
    </row>
    <row r="910" spans="1:27" ht="13.5" customHeight="1" x14ac:dyDescent="0.3">
      <c r="A910" s="1675"/>
      <c r="B910" s="1675"/>
      <c r="C910" s="1678"/>
      <c r="D910" s="1771"/>
      <c r="E910" s="1771"/>
      <c r="F910" s="1771"/>
      <c r="G910" s="1689"/>
      <c r="H910" s="1674"/>
      <c r="I910" s="1675"/>
      <c r="J910" s="1675"/>
      <c r="K910" s="1675"/>
      <c r="L910" s="1675"/>
      <c r="M910" s="1676"/>
      <c r="N910" s="1676"/>
      <c r="O910" s="1676"/>
      <c r="P910" s="1675"/>
      <c r="Q910" s="1675"/>
      <c r="R910" s="1675"/>
      <c r="S910" s="1675"/>
      <c r="T910" s="1675"/>
      <c r="U910" s="1675"/>
      <c r="V910" s="1675"/>
      <c r="W910" s="1675"/>
      <c r="X910" s="1675"/>
      <c r="Y910" s="1675"/>
      <c r="Z910" s="1675"/>
      <c r="AA910" s="1675"/>
    </row>
    <row r="911" spans="1:27" ht="13.5" customHeight="1" x14ac:dyDescent="0.3">
      <c r="A911" s="1675"/>
      <c r="B911" s="1675"/>
      <c r="C911" s="1678"/>
      <c r="D911" s="1771"/>
      <c r="E911" s="1771"/>
      <c r="F911" s="1771"/>
      <c r="G911" s="1689"/>
      <c r="H911" s="1674"/>
      <c r="I911" s="1675"/>
      <c r="J911" s="1675"/>
      <c r="K911" s="1675"/>
      <c r="L911" s="1675"/>
      <c r="M911" s="1676"/>
      <c r="N911" s="1676"/>
      <c r="O911" s="1676"/>
      <c r="P911" s="1675"/>
      <c r="Q911" s="1675"/>
      <c r="R911" s="1675"/>
      <c r="S911" s="1675"/>
      <c r="T911" s="1675"/>
      <c r="U911" s="1675"/>
      <c r="V911" s="1675"/>
      <c r="W911" s="1675"/>
      <c r="X911" s="1675"/>
      <c r="Y911" s="1675"/>
      <c r="Z911" s="1675"/>
      <c r="AA911" s="1675"/>
    </row>
    <row r="912" spans="1:27" ht="13.5" customHeight="1" x14ac:dyDescent="0.3">
      <c r="A912" s="1675"/>
      <c r="B912" s="1675"/>
      <c r="C912" s="1678"/>
      <c r="D912" s="1771"/>
      <c r="E912" s="1771"/>
      <c r="F912" s="1771"/>
      <c r="G912" s="1689"/>
      <c r="H912" s="1674"/>
      <c r="I912" s="1675"/>
      <c r="J912" s="1675"/>
      <c r="K912" s="1675"/>
      <c r="L912" s="1675"/>
      <c r="M912" s="1676"/>
      <c r="N912" s="1676"/>
      <c r="O912" s="1676"/>
      <c r="P912" s="1675"/>
      <c r="Q912" s="1675"/>
      <c r="R912" s="1675"/>
      <c r="S912" s="1675"/>
      <c r="T912" s="1675"/>
      <c r="U912" s="1675"/>
      <c r="V912" s="1675"/>
      <c r="W912" s="1675"/>
      <c r="X912" s="1675"/>
      <c r="Y912" s="1675"/>
      <c r="Z912" s="1675"/>
      <c r="AA912" s="1675"/>
    </row>
    <row r="913" spans="1:27" ht="13.5" customHeight="1" x14ac:dyDescent="0.3">
      <c r="A913" s="1675"/>
      <c r="B913" s="1675"/>
      <c r="C913" s="1678"/>
      <c r="D913" s="1771"/>
      <c r="E913" s="1771"/>
      <c r="F913" s="1771"/>
      <c r="G913" s="1689"/>
      <c r="H913" s="1674"/>
      <c r="I913" s="1675"/>
      <c r="J913" s="1675"/>
      <c r="K913" s="1675"/>
      <c r="L913" s="1675"/>
      <c r="M913" s="1676"/>
      <c r="N913" s="1676"/>
      <c r="O913" s="1676"/>
      <c r="P913" s="1675"/>
      <c r="Q913" s="1675"/>
      <c r="R913" s="1675"/>
      <c r="S913" s="1675"/>
      <c r="T913" s="1675"/>
      <c r="U913" s="1675"/>
      <c r="V913" s="1675"/>
      <c r="W913" s="1675"/>
      <c r="X913" s="1675"/>
      <c r="Y913" s="1675"/>
      <c r="Z913" s="1675"/>
      <c r="AA913" s="1675"/>
    </row>
    <row r="914" spans="1:27" ht="13.5" customHeight="1" x14ac:dyDescent="0.3">
      <c r="A914" s="1675"/>
      <c r="B914" s="1675"/>
      <c r="C914" s="1678"/>
      <c r="D914" s="1771"/>
      <c r="E914" s="1771"/>
      <c r="F914" s="1771"/>
      <c r="G914" s="1689"/>
      <c r="H914" s="1674"/>
      <c r="I914" s="1675"/>
      <c r="J914" s="1675"/>
      <c r="K914" s="1675"/>
      <c r="L914" s="1675"/>
      <c r="M914" s="1676"/>
      <c r="N914" s="1676"/>
      <c r="O914" s="1676"/>
      <c r="P914" s="1675"/>
      <c r="Q914" s="1675"/>
      <c r="R914" s="1675"/>
      <c r="S914" s="1675"/>
      <c r="T914" s="1675"/>
      <c r="U914" s="1675"/>
      <c r="V914" s="1675"/>
      <c r="W914" s="1675"/>
      <c r="X914" s="1675"/>
      <c r="Y914" s="1675"/>
      <c r="Z914" s="1675"/>
      <c r="AA914" s="1675"/>
    </row>
    <row r="915" spans="1:27" ht="13.5" customHeight="1" x14ac:dyDescent="0.3">
      <c r="A915" s="1675"/>
      <c r="B915" s="1675"/>
      <c r="C915" s="1678"/>
      <c r="D915" s="1771"/>
      <c r="E915" s="1771"/>
      <c r="F915" s="1771"/>
      <c r="G915" s="1689"/>
      <c r="H915" s="1674"/>
      <c r="I915" s="1675"/>
      <c r="J915" s="1675"/>
      <c r="K915" s="1675"/>
      <c r="L915" s="1675"/>
      <c r="M915" s="1676"/>
      <c r="N915" s="1676"/>
      <c r="O915" s="1676"/>
      <c r="P915" s="1675"/>
      <c r="Q915" s="1675"/>
      <c r="R915" s="1675"/>
      <c r="S915" s="1675"/>
      <c r="T915" s="1675"/>
      <c r="U915" s="1675"/>
      <c r="V915" s="1675"/>
      <c r="W915" s="1675"/>
      <c r="X915" s="1675"/>
      <c r="Y915" s="1675"/>
      <c r="Z915" s="1675"/>
      <c r="AA915" s="1675"/>
    </row>
    <row r="916" spans="1:27" ht="13.5" customHeight="1" x14ac:dyDescent="0.3">
      <c r="A916" s="1675"/>
      <c r="B916" s="1675"/>
      <c r="C916" s="1678"/>
      <c r="D916" s="1771"/>
      <c r="E916" s="1771"/>
      <c r="F916" s="1771"/>
      <c r="G916" s="1689"/>
      <c r="H916" s="1674"/>
      <c r="I916" s="1675"/>
      <c r="J916" s="1675"/>
      <c r="K916" s="1675"/>
      <c r="L916" s="1675"/>
      <c r="M916" s="1676"/>
      <c r="N916" s="1676"/>
      <c r="O916" s="1676"/>
      <c r="P916" s="1675"/>
      <c r="Q916" s="1675"/>
      <c r="R916" s="1675"/>
      <c r="S916" s="1675"/>
      <c r="T916" s="1675"/>
      <c r="U916" s="1675"/>
      <c r="V916" s="1675"/>
      <c r="W916" s="1675"/>
      <c r="X916" s="1675"/>
      <c r="Y916" s="1675"/>
      <c r="Z916" s="1675"/>
      <c r="AA916" s="1675"/>
    </row>
    <row r="917" spans="1:27" ht="13.5" customHeight="1" x14ac:dyDescent="0.3">
      <c r="A917" s="1675"/>
      <c r="B917" s="1675"/>
      <c r="C917" s="1678"/>
      <c r="D917" s="1771"/>
      <c r="E917" s="1771"/>
      <c r="F917" s="1771"/>
      <c r="G917" s="1689"/>
      <c r="H917" s="1674"/>
      <c r="I917" s="1675"/>
      <c r="J917" s="1675"/>
      <c r="K917" s="1675"/>
      <c r="L917" s="1675"/>
      <c r="M917" s="1676"/>
      <c r="N917" s="1676"/>
      <c r="O917" s="1676"/>
      <c r="P917" s="1675"/>
      <c r="Q917" s="1675"/>
      <c r="R917" s="1675"/>
      <c r="S917" s="1675"/>
      <c r="T917" s="1675"/>
      <c r="U917" s="1675"/>
      <c r="V917" s="1675"/>
      <c r="W917" s="1675"/>
      <c r="X917" s="1675"/>
      <c r="Y917" s="1675"/>
      <c r="Z917" s="1675"/>
      <c r="AA917" s="1675"/>
    </row>
    <row r="918" spans="1:27" ht="13.5" customHeight="1" x14ac:dyDescent="0.3">
      <c r="A918" s="1675"/>
      <c r="B918" s="1675"/>
      <c r="C918" s="1678"/>
      <c r="D918" s="1771"/>
      <c r="E918" s="1771"/>
      <c r="F918" s="1771"/>
      <c r="G918" s="1689"/>
      <c r="H918" s="1674"/>
      <c r="I918" s="1675"/>
      <c r="J918" s="1675"/>
      <c r="K918" s="1675"/>
      <c r="L918" s="1675"/>
      <c r="M918" s="1676"/>
      <c r="N918" s="1676"/>
      <c r="O918" s="1676"/>
      <c r="P918" s="1675"/>
      <c r="Q918" s="1675"/>
      <c r="R918" s="1675"/>
      <c r="S918" s="1675"/>
      <c r="T918" s="1675"/>
      <c r="U918" s="1675"/>
      <c r="V918" s="1675"/>
      <c r="W918" s="1675"/>
      <c r="X918" s="1675"/>
      <c r="Y918" s="1675"/>
      <c r="Z918" s="1675"/>
      <c r="AA918" s="1675"/>
    </row>
    <row r="919" spans="1:27" ht="13.5" customHeight="1" x14ac:dyDescent="0.3">
      <c r="A919" s="1675"/>
      <c r="B919" s="1675"/>
      <c r="C919" s="1678"/>
      <c r="D919" s="1771"/>
      <c r="E919" s="1771"/>
      <c r="F919" s="1771"/>
      <c r="G919" s="1689"/>
      <c r="H919" s="1674"/>
      <c r="I919" s="1675"/>
      <c r="J919" s="1675"/>
      <c r="K919" s="1675"/>
      <c r="L919" s="1675"/>
      <c r="M919" s="1676"/>
      <c r="N919" s="1676"/>
      <c r="O919" s="1676"/>
      <c r="P919" s="1675"/>
      <c r="Q919" s="1675"/>
      <c r="R919" s="1675"/>
      <c r="S919" s="1675"/>
      <c r="T919" s="1675"/>
      <c r="U919" s="1675"/>
      <c r="V919" s="1675"/>
      <c r="W919" s="1675"/>
      <c r="X919" s="1675"/>
      <c r="Y919" s="1675"/>
      <c r="Z919" s="1675"/>
      <c r="AA919" s="1675"/>
    </row>
    <row r="920" spans="1:27" ht="13.5" customHeight="1" x14ac:dyDescent="0.3">
      <c r="A920" s="1675"/>
      <c r="B920" s="1675"/>
      <c r="C920" s="1678"/>
      <c r="D920" s="1771"/>
      <c r="E920" s="1771"/>
      <c r="F920" s="1771"/>
      <c r="G920" s="1689"/>
      <c r="H920" s="1674"/>
      <c r="I920" s="1675"/>
      <c r="J920" s="1675"/>
      <c r="K920" s="1675"/>
      <c r="L920" s="1675"/>
      <c r="M920" s="1676"/>
      <c r="N920" s="1676"/>
      <c r="O920" s="1676"/>
      <c r="P920" s="1675"/>
      <c r="Q920" s="1675"/>
      <c r="R920" s="1675"/>
      <c r="S920" s="1675"/>
      <c r="T920" s="1675"/>
      <c r="U920" s="1675"/>
      <c r="V920" s="1675"/>
      <c r="W920" s="1675"/>
      <c r="X920" s="1675"/>
      <c r="Y920" s="1675"/>
      <c r="Z920" s="1675"/>
      <c r="AA920" s="1675"/>
    </row>
    <row r="921" spans="1:27" ht="13.5" customHeight="1" x14ac:dyDescent="0.3">
      <c r="A921" s="1675"/>
      <c r="B921" s="1675"/>
      <c r="C921" s="1678"/>
      <c r="D921" s="1771"/>
      <c r="E921" s="1771"/>
      <c r="F921" s="1771"/>
      <c r="G921" s="1689"/>
      <c r="H921" s="1674"/>
      <c r="I921" s="1675"/>
      <c r="J921" s="1675"/>
      <c r="K921" s="1675"/>
      <c r="L921" s="1675"/>
      <c r="M921" s="1676"/>
      <c r="N921" s="1676"/>
      <c r="O921" s="1676"/>
      <c r="P921" s="1675"/>
      <c r="Q921" s="1675"/>
      <c r="R921" s="1675"/>
      <c r="S921" s="1675"/>
      <c r="T921" s="1675"/>
      <c r="U921" s="1675"/>
      <c r="V921" s="1675"/>
      <c r="W921" s="1675"/>
      <c r="X921" s="1675"/>
      <c r="Y921" s="1675"/>
      <c r="Z921" s="1675"/>
      <c r="AA921" s="1675"/>
    </row>
    <row r="922" spans="1:27" ht="13.5" customHeight="1" x14ac:dyDescent="0.3">
      <c r="A922" s="1675"/>
      <c r="B922" s="1675"/>
      <c r="C922" s="1678"/>
      <c r="D922" s="1771"/>
      <c r="E922" s="1771"/>
      <c r="F922" s="1771"/>
      <c r="G922" s="1689"/>
      <c r="H922" s="1674"/>
      <c r="I922" s="1675"/>
      <c r="J922" s="1675"/>
      <c r="K922" s="1675"/>
      <c r="L922" s="1675"/>
      <c r="M922" s="1676"/>
      <c r="N922" s="1676"/>
      <c r="O922" s="1676"/>
      <c r="P922" s="1675"/>
      <c r="Q922" s="1675"/>
      <c r="R922" s="1675"/>
      <c r="S922" s="1675"/>
      <c r="T922" s="1675"/>
      <c r="U922" s="1675"/>
      <c r="V922" s="1675"/>
      <c r="W922" s="1675"/>
      <c r="X922" s="1675"/>
      <c r="Y922" s="1675"/>
      <c r="Z922" s="1675"/>
      <c r="AA922" s="1675"/>
    </row>
    <row r="923" spans="1:27" ht="13.5" customHeight="1" x14ac:dyDescent="0.3">
      <c r="A923" s="1675"/>
      <c r="B923" s="1675"/>
      <c r="C923" s="1678"/>
      <c r="D923" s="1771"/>
      <c r="E923" s="1771"/>
      <c r="F923" s="1771"/>
      <c r="G923" s="1689"/>
      <c r="H923" s="1674"/>
      <c r="I923" s="1675"/>
      <c r="J923" s="1675"/>
      <c r="K923" s="1675"/>
      <c r="L923" s="1675"/>
      <c r="M923" s="1676"/>
      <c r="N923" s="1676"/>
      <c r="O923" s="1676"/>
      <c r="P923" s="1675"/>
      <c r="Q923" s="1675"/>
      <c r="R923" s="1675"/>
      <c r="S923" s="1675"/>
      <c r="T923" s="1675"/>
      <c r="U923" s="1675"/>
      <c r="V923" s="1675"/>
      <c r="W923" s="1675"/>
      <c r="X923" s="1675"/>
      <c r="Y923" s="1675"/>
      <c r="Z923" s="1675"/>
      <c r="AA923" s="1675"/>
    </row>
    <row r="924" spans="1:27" ht="13.5" customHeight="1" x14ac:dyDescent="0.3">
      <c r="A924" s="1675"/>
      <c r="B924" s="1675"/>
      <c r="C924" s="1678"/>
      <c r="D924" s="1771"/>
      <c r="E924" s="1771"/>
      <c r="F924" s="1771"/>
      <c r="G924" s="1689"/>
      <c r="H924" s="1674"/>
      <c r="I924" s="1675"/>
      <c r="J924" s="1675"/>
      <c r="K924" s="1675"/>
      <c r="L924" s="1675"/>
      <c r="M924" s="1676"/>
      <c r="N924" s="1676"/>
      <c r="O924" s="1676"/>
      <c r="P924" s="1675"/>
      <c r="Q924" s="1675"/>
      <c r="R924" s="1675"/>
      <c r="S924" s="1675"/>
      <c r="T924" s="1675"/>
      <c r="U924" s="1675"/>
      <c r="V924" s="1675"/>
      <c r="W924" s="1675"/>
      <c r="X924" s="1675"/>
      <c r="Y924" s="1675"/>
      <c r="Z924" s="1675"/>
      <c r="AA924" s="1675"/>
    </row>
    <row r="925" spans="1:27" ht="13.5" customHeight="1" x14ac:dyDescent="0.3">
      <c r="A925" s="1675"/>
      <c r="B925" s="1675"/>
      <c r="C925" s="1678"/>
      <c r="D925" s="1771"/>
      <c r="E925" s="1771"/>
      <c r="F925" s="1771"/>
      <c r="G925" s="1689"/>
      <c r="H925" s="1674"/>
      <c r="I925" s="1675"/>
      <c r="J925" s="1675"/>
      <c r="K925" s="1675"/>
      <c r="L925" s="1675"/>
      <c r="M925" s="1676"/>
      <c r="N925" s="1676"/>
      <c r="O925" s="1676"/>
      <c r="P925" s="1675"/>
      <c r="Q925" s="1675"/>
      <c r="R925" s="1675"/>
      <c r="S925" s="1675"/>
      <c r="T925" s="1675"/>
      <c r="U925" s="1675"/>
      <c r="V925" s="1675"/>
      <c r="W925" s="1675"/>
      <c r="X925" s="1675"/>
      <c r="Y925" s="1675"/>
      <c r="Z925" s="1675"/>
      <c r="AA925" s="1675"/>
    </row>
    <row r="926" spans="1:27" ht="13.5" customHeight="1" x14ac:dyDescent="0.3">
      <c r="A926" s="1675"/>
      <c r="B926" s="1675"/>
      <c r="C926" s="1678"/>
      <c r="D926" s="1771"/>
      <c r="E926" s="1771"/>
      <c r="F926" s="1771"/>
      <c r="G926" s="1689"/>
      <c r="H926" s="1674"/>
      <c r="I926" s="1675"/>
      <c r="J926" s="1675"/>
      <c r="K926" s="1675"/>
      <c r="L926" s="1675"/>
      <c r="M926" s="1676"/>
      <c r="N926" s="1676"/>
      <c r="O926" s="1676"/>
      <c r="P926" s="1675"/>
      <c r="Q926" s="1675"/>
      <c r="R926" s="1675"/>
      <c r="S926" s="1675"/>
      <c r="T926" s="1675"/>
      <c r="U926" s="1675"/>
      <c r="V926" s="1675"/>
      <c r="W926" s="1675"/>
      <c r="X926" s="1675"/>
      <c r="Y926" s="1675"/>
      <c r="Z926" s="1675"/>
      <c r="AA926" s="1675"/>
    </row>
    <row r="927" spans="1:27" ht="13.5" customHeight="1" x14ac:dyDescent="0.3">
      <c r="A927" s="1675"/>
      <c r="B927" s="1675"/>
      <c r="C927" s="1678"/>
      <c r="D927" s="1771"/>
      <c r="E927" s="1771"/>
      <c r="F927" s="1771"/>
      <c r="G927" s="1689"/>
      <c r="H927" s="1674"/>
      <c r="I927" s="1675"/>
      <c r="J927" s="1675"/>
      <c r="K927" s="1675"/>
      <c r="L927" s="1675"/>
      <c r="M927" s="1676"/>
      <c r="N927" s="1676"/>
      <c r="O927" s="1676"/>
      <c r="P927" s="1675"/>
      <c r="Q927" s="1675"/>
      <c r="R927" s="1675"/>
      <c r="S927" s="1675"/>
      <c r="T927" s="1675"/>
      <c r="U927" s="1675"/>
      <c r="V927" s="1675"/>
      <c r="W927" s="1675"/>
      <c r="X927" s="1675"/>
      <c r="Y927" s="1675"/>
      <c r="Z927" s="1675"/>
      <c r="AA927" s="1675"/>
    </row>
    <row r="928" spans="1:27" ht="13.5" customHeight="1" x14ac:dyDescent="0.3">
      <c r="A928" s="1675"/>
      <c r="B928" s="1675"/>
      <c r="C928" s="1678"/>
      <c r="D928" s="1771"/>
      <c r="E928" s="1771"/>
      <c r="F928" s="1771"/>
      <c r="G928" s="1689"/>
      <c r="H928" s="1674"/>
      <c r="I928" s="1675"/>
      <c r="J928" s="1675"/>
      <c r="K928" s="1675"/>
      <c r="L928" s="1675"/>
      <c r="M928" s="1676"/>
      <c r="N928" s="1676"/>
      <c r="O928" s="1676"/>
      <c r="P928" s="1675"/>
      <c r="Q928" s="1675"/>
      <c r="R928" s="1675"/>
      <c r="S928" s="1675"/>
      <c r="T928" s="1675"/>
      <c r="U928" s="1675"/>
      <c r="V928" s="1675"/>
      <c r="W928" s="1675"/>
      <c r="X928" s="1675"/>
      <c r="Y928" s="1675"/>
      <c r="Z928" s="1675"/>
      <c r="AA928" s="1675"/>
    </row>
    <row r="929" spans="1:27" ht="13.5" customHeight="1" x14ac:dyDescent="0.3">
      <c r="A929" s="1675"/>
      <c r="B929" s="1675"/>
      <c r="C929" s="1678"/>
      <c r="D929" s="1771"/>
      <c r="E929" s="1771"/>
      <c r="F929" s="1771"/>
      <c r="G929" s="1689"/>
      <c r="H929" s="1674"/>
      <c r="I929" s="1675"/>
      <c r="J929" s="1675"/>
      <c r="K929" s="1675"/>
      <c r="L929" s="1675"/>
      <c r="M929" s="1676"/>
      <c r="N929" s="1676"/>
      <c r="O929" s="1676"/>
      <c r="P929" s="1675"/>
      <c r="Q929" s="1675"/>
      <c r="R929" s="1675"/>
      <c r="S929" s="1675"/>
      <c r="T929" s="1675"/>
      <c r="U929" s="1675"/>
      <c r="V929" s="1675"/>
      <c r="W929" s="1675"/>
      <c r="X929" s="1675"/>
      <c r="Y929" s="1675"/>
      <c r="Z929" s="1675"/>
      <c r="AA929" s="1675"/>
    </row>
    <row r="930" spans="1:27" ht="15" customHeight="1" x14ac:dyDescent="0.3">
      <c r="L930" s="1675"/>
      <c r="M930" s="1676"/>
      <c r="N930" s="1676"/>
      <c r="O930" s="1676"/>
      <c r="P930" s="1675"/>
    </row>
  </sheetData>
  <mergeCells count="2">
    <mergeCell ref="A2:F2"/>
    <mergeCell ref="A4:F4"/>
  </mergeCells>
  <printOptions horizontalCentered="1"/>
  <pageMargins left="0.15748031496062992" right="0.15748031496062992" top="0.19685039370078741" bottom="0.19685039370078741" header="0" footer="0"/>
  <pageSetup paperSize="9" scale="96" orientation="portrait" r:id="rId1"/>
  <rowBreaks count="2" manualBreakCount="2">
    <brk id="58" max="5" man="1"/>
    <brk id="130" max="5" man="1"/>
  </rowBreaks>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607"/>
  <sheetViews>
    <sheetView view="pageBreakPreview" zoomScaleNormal="100" zoomScaleSheetLayoutView="100" workbookViewId="0">
      <pane ySplit="1" topLeftCell="A428" activePane="bottomLeft" state="frozen"/>
      <selection pane="bottomLeft" activeCell="M433" sqref="M433"/>
    </sheetView>
  </sheetViews>
  <sheetFormatPr defaultRowHeight="13.8" x14ac:dyDescent="0.25"/>
  <cols>
    <col min="1" max="1" width="8.6640625" style="940" bestFit="1" customWidth="1"/>
    <col min="2" max="2" width="46.88671875" style="935" customWidth="1"/>
    <col min="3" max="3" width="5.33203125" style="935" bestFit="1" customWidth="1"/>
    <col min="4" max="4" width="6.6640625" style="935" bestFit="1" customWidth="1"/>
    <col min="5" max="5" width="7.33203125" style="1645" bestFit="1" customWidth="1"/>
    <col min="6" max="6" width="10.5546875" style="1645" bestFit="1" customWidth="1"/>
    <col min="7" max="7" width="8.88671875" style="1645" bestFit="1" customWidth="1"/>
    <col min="8" max="8" width="9.88671875" style="1645" bestFit="1" customWidth="1"/>
    <col min="9" max="10" width="8.44140625" style="1645" bestFit="1" customWidth="1"/>
    <col min="11" max="11" width="6.21875" style="1645" bestFit="1" customWidth="1"/>
    <col min="12" max="14" width="8.44140625" style="1645" bestFit="1" customWidth="1"/>
    <col min="15" max="15" width="7" style="1645" bestFit="1" customWidth="1"/>
    <col min="16" max="16" width="8.44140625" style="935" bestFit="1" customWidth="1"/>
    <col min="17" max="17" width="14.109375" style="935" bestFit="1" customWidth="1"/>
    <col min="18" max="19" width="11.33203125" style="935" bestFit="1" customWidth="1"/>
    <col min="20" max="20" width="12.88671875" style="935" bestFit="1" customWidth="1"/>
    <col min="21" max="21" width="14.109375" style="935" bestFit="1" customWidth="1"/>
    <col min="22" max="23" width="8.88671875" style="935"/>
    <col min="24" max="24" width="13.109375" style="935" bestFit="1" customWidth="1"/>
    <col min="25" max="25" width="8.88671875" style="935"/>
    <col min="26" max="26" width="15.109375" style="935" bestFit="1" customWidth="1"/>
    <col min="27" max="28" width="11.5546875" style="935" bestFit="1" customWidth="1"/>
    <col min="29" max="262" width="8.88671875" style="935"/>
    <col min="263" max="263" width="7" style="935" bestFit="1" customWidth="1"/>
    <col min="264" max="264" width="20.5546875" style="935" bestFit="1" customWidth="1"/>
    <col min="265" max="265" width="3.44140625" style="935" customWidth="1"/>
    <col min="266" max="266" width="3.6640625" style="935" customWidth="1"/>
    <col min="267" max="267" width="5.44140625" style="935" bestFit="1" customWidth="1"/>
    <col min="268" max="268" width="9.33203125" style="935" bestFit="1" customWidth="1"/>
    <col min="269" max="269" width="7.6640625" style="935" customWidth="1"/>
    <col min="270" max="270" width="9.109375" style="935" customWidth="1"/>
    <col min="271" max="272" width="10.5546875" style="935" bestFit="1" customWidth="1"/>
    <col min="273" max="273" width="5.33203125" style="935" bestFit="1" customWidth="1"/>
    <col min="274" max="275" width="11.33203125" style="935" bestFit="1" customWidth="1"/>
    <col min="276" max="276" width="12.88671875" style="935" bestFit="1" customWidth="1"/>
    <col min="277" max="277" width="10.5546875" style="935" bestFit="1" customWidth="1"/>
    <col min="278" max="281" width="8.88671875" style="935"/>
    <col min="282" max="282" width="15.109375" style="935" bestFit="1" customWidth="1"/>
    <col min="283" max="284" width="11.5546875" style="935" bestFit="1" customWidth="1"/>
    <col min="285" max="518" width="8.88671875" style="935"/>
    <col min="519" max="519" width="7" style="935" bestFit="1" customWidth="1"/>
    <col min="520" max="520" width="20.5546875" style="935" bestFit="1" customWidth="1"/>
    <col min="521" max="521" width="3.44140625" style="935" customWidth="1"/>
    <col min="522" max="522" width="3.6640625" style="935" customWidth="1"/>
    <col min="523" max="523" width="5.44140625" style="935" bestFit="1" customWidth="1"/>
    <col min="524" max="524" width="9.33203125" style="935" bestFit="1" customWidth="1"/>
    <col min="525" max="525" width="7.6640625" style="935" customWidth="1"/>
    <col min="526" max="526" width="9.109375" style="935" customWidth="1"/>
    <col min="527" max="528" width="10.5546875" style="935" bestFit="1" customWidth="1"/>
    <col min="529" max="529" width="5.33203125" style="935" bestFit="1" customWidth="1"/>
    <col min="530" max="531" width="11.33203125" style="935" bestFit="1" customWidth="1"/>
    <col min="532" max="532" width="12.88671875" style="935" bestFit="1" customWidth="1"/>
    <col min="533" max="533" width="10.5546875" style="935" bestFit="1" customWidth="1"/>
    <col min="534" max="537" width="8.88671875" style="935"/>
    <col min="538" max="538" width="15.109375" style="935" bestFit="1" customWidth="1"/>
    <col min="539" max="540" width="11.5546875" style="935" bestFit="1" customWidth="1"/>
    <col min="541" max="774" width="8.88671875" style="935"/>
    <col min="775" max="775" width="7" style="935" bestFit="1" customWidth="1"/>
    <col min="776" max="776" width="20.5546875" style="935" bestFit="1" customWidth="1"/>
    <col min="777" max="777" width="3.44140625" style="935" customWidth="1"/>
    <col min="778" max="778" width="3.6640625" style="935" customWidth="1"/>
    <col min="779" max="779" width="5.44140625" style="935" bestFit="1" customWidth="1"/>
    <col min="780" max="780" width="9.33203125" style="935" bestFit="1" customWidth="1"/>
    <col min="781" max="781" width="7.6640625" style="935" customWidth="1"/>
    <col min="782" max="782" width="9.109375" style="935" customWidth="1"/>
    <col min="783" max="784" width="10.5546875" style="935" bestFit="1" customWidth="1"/>
    <col min="785" max="785" width="5.33203125" style="935" bestFit="1" customWidth="1"/>
    <col min="786" max="787" width="11.33203125" style="935" bestFit="1" customWidth="1"/>
    <col min="788" max="788" width="12.88671875" style="935" bestFit="1" customWidth="1"/>
    <col min="789" max="789" width="10.5546875" style="935" bestFit="1" customWidth="1"/>
    <col min="790" max="793" width="8.88671875" style="935"/>
    <col min="794" max="794" width="15.109375" style="935" bestFit="1" customWidth="1"/>
    <col min="795" max="796" width="11.5546875" style="935" bestFit="1" customWidth="1"/>
    <col min="797" max="1030" width="8.88671875" style="935"/>
    <col min="1031" max="1031" width="7" style="935" bestFit="1" customWidth="1"/>
    <col min="1032" max="1032" width="20.5546875" style="935" bestFit="1" customWidth="1"/>
    <col min="1033" max="1033" width="3.44140625" style="935" customWidth="1"/>
    <col min="1034" max="1034" width="3.6640625" style="935" customWidth="1"/>
    <col min="1035" max="1035" width="5.44140625" style="935" bestFit="1" customWidth="1"/>
    <col min="1036" max="1036" width="9.33203125" style="935" bestFit="1" customWidth="1"/>
    <col min="1037" max="1037" width="7.6640625" style="935" customWidth="1"/>
    <col min="1038" max="1038" width="9.109375" style="935" customWidth="1"/>
    <col min="1039" max="1040" width="10.5546875" style="935" bestFit="1" customWidth="1"/>
    <col min="1041" max="1041" width="5.33203125" style="935" bestFit="1" customWidth="1"/>
    <col min="1042" max="1043" width="11.33203125" style="935" bestFit="1" customWidth="1"/>
    <col min="1044" max="1044" width="12.88671875" style="935" bestFit="1" customWidth="1"/>
    <col min="1045" max="1045" width="10.5546875" style="935" bestFit="1" customWidth="1"/>
    <col min="1046" max="1049" width="8.88671875" style="935"/>
    <col min="1050" max="1050" width="15.109375" style="935" bestFit="1" customWidth="1"/>
    <col min="1051" max="1052" width="11.5546875" style="935" bestFit="1" customWidth="1"/>
    <col min="1053" max="1286" width="8.88671875" style="935"/>
    <col min="1287" max="1287" width="7" style="935" bestFit="1" customWidth="1"/>
    <col min="1288" max="1288" width="20.5546875" style="935" bestFit="1" customWidth="1"/>
    <col min="1289" max="1289" width="3.44140625" style="935" customWidth="1"/>
    <col min="1290" max="1290" width="3.6640625" style="935" customWidth="1"/>
    <col min="1291" max="1291" width="5.44140625" style="935" bestFit="1" customWidth="1"/>
    <col min="1292" max="1292" width="9.33203125" style="935" bestFit="1" customWidth="1"/>
    <col min="1293" max="1293" width="7.6640625" style="935" customWidth="1"/>
    <col min="1294" max="1294" width="9.109375" style="935" customWidth="1"/>
    <col min="1295" max="1296" width="10.5546875" style="935" bestFit="1" customWidth="1"/>
    <col min="1297" max="1297" width="5.33203125" style="935" bestFit="1" customWidth="1"/>
    <col min="1298" max="1299" width="11.33203125" style="935" bestFit="1" customWidth="1"/>
    <col min="1300" max="1300" width="12.88671875" style="935" bestFit="1" customWidth="1"/>
    <col min="1301" max="1301" width="10.5546875" style="935" bestFit="1" customWidth="1"/>
    <col min="1302" max="1305" width="8.88671875" style="935"/>
    <col min="1306" max="1306" width="15.109375" style="935" bestFit="1" customWidth="1"/>
    <col min="1307" max="1308" width="11.5546875" style="935" bestFit="1" customWidth="1"/>
    <col min="1309" max="1542" width="8.88671875" style="935"/>
    <col min="1543" max="1543" width="7" style="935" bestFit="1" customWidth="1"/>
    <col min="1544" max="1544" width="20.5546875" style="935" bestFit="1" customWidth="1"/>
    <col min="1545" max="1545" width="3.44140625" style="935" customWidth="1"/>
    <col min="1546" max="1546" width="3.6640625" style="935" customWidth="1"/>
    <col min="1547" max="1547" width="5.44140625" style="935" bestFit="1" customWidth="1"/>
    <col min="1548" max="1548" width="9.33203125" style="935" bestFit="1" customWidth="1"/>
    <col min="1549" max="1549" width="7.6640625" style="935" customWidth="1"/>
    <col min="1550" max="1550" width="9.109375" style="935" customWidth="1"/>
    <col min="1551" max="1552" width="10.5546875" style="935" bestFit="1" customWidth="1"/>
    <col min="1553" max="1553" width="5.33203125" style="935" bestFit="1" customWidth="1"/>
    <col min="1554" max="1555" width="11.33203125" style="935" bestFit="1" customWidth="1"/>
    <col min="1556" max="1556" width="12.88671875" style="935" bestFit="1" customWidth="1"/>
    <col min="1557" max="1557" width="10.5546875" style="935" bestFit="1" customWidth="1"/>
    <col min="1558" max="1561" width="8.88671875" style="935"/>
    <col min="1562" max="1562" width="15.109375" style="935" bestFit="1" customWidth="1"/>
    <col min="1563" max="1564" width="11.5546875" style="935" bestFit="1" customWidth="1"/>
    <col min="1565" max="1798" width="8.88671875" style="935"/>
    <col min="1799" max="1799" width="7" style="935" bestFit="1" customWidth="1"/>
    <col min="1800" max="1800" width="20.5546875" style="935" bestFit="1" customWidth="1"/>
    <col min="1801" max="1801" width="3.44140625" style="935" customWidth="1"/>
    <col min="1802" max="1802" width="3.6640625" style="935" customWidth="1"/>
    <col min="1803" max="1803" width="5.44140625" style="935" bestFit="1" customWidth="1"/>
    <col min="1804" max="1804" width="9.33203125" style="935" bestFit="1" customWidth="1"/>
    <col min="1805" max="1805" width="7.6640625" style="935" customWidth="1"/>
    <col min="1806" max="1806" width="9.109375" style="935" customWidth="1"/>
    <col min="1807" max="1808" width="10.5546875" style="935" bestFit="1" customWidth="1"/>
    <col min="1809" max="1809" width="5.33203125" style="935" bestFit="1" customWidth="1"/>
    <col min="1810" max="1811" width="11.33203125" style="935" bestFit="1" customWidth="1"/>
    <col min="1812" max="1812" width="12.88671875" style="935" bestFit="1" customWidth="1"/>
    <col min="1813" max="1813" width="10.5546875" style="935" bestFit="1" customWidth="1"/>
    <col min="1814" max="1817" width="8.88671875" style="935"/>
    <col min="1818" max="1818" width="15.109375" style="935" bestFit="1" customWidth="1"/>
    <col min="1819" max="1820" width="11.5546875" style="935" bestFit="1" customWidth="1"/>
    <col min="1821" max="2054" width="8.88671875" style="935"/>
    <col min="2055" max="2055" width="7" style="935" bestFit="1" customWidth="1"/>
    <col min="2056" max="2056" width="20.5546875" style="935" bestFit="1" customWidth="1"/>
    <col min="2057" max="2057" width="3.44140625" style="935" customWidth="1"/>
    <col min="2058" max="2058" width="3.6640625" style="935" customWidth="1"/>
    <col min="2059" max="2059" width="5.44140625" style="935" bestFit="1" customWidth="1"/>
    <col min="2060" max="2060" width="9.33203125" style="935" bestFit="1" customWidth="1"/>
    <col min="2061" max="2061" width="7.6640625" style="935" customWidth="1"/>
    <col min="2062" max="2062" width="9.109375" style="935" customWidth="1"/>
    <col min="2063" max="2064" width="10.5546875" style="935" bestFit="1" customWidth="1"/>
    <col min="2065" max="2065" width="5.33203125" style="935" bestFit="1" customWidth="1"/>
    <col min="2066" max="2067" width="11.33203125" style="935" bestFit="1" customWidth="1"/>
    <col min="2068" max="2068" width="12.88671875" style="935" bestFit="1" customWidth="1"/>
    <col min="2069" max="2069" width="10.5546875" style="935" bestFit="1" customWidth="1"/>
    <col min="2070" max="2073" width="8.88671875" style="935"/>
    <col min="2074" max="2074" width="15.109375" style="935" bestFit="1" customWidth="1"/>
    <col min="2075" max="2076" width="11.5546875" style="935" bestFit="1" customWidth="1"/>
    <col min="2077" max="2310" width="8.88671875" style="935"/>
    <col min="2311" max="2311" width="7" style="935" bestFit="1" customWidth="1"/>
    <col min="2312" max="2312" width="20.5546875" style="935" bestFit="1" customWidth="1"/>
    <col min="2313" max="2313" width="3.44140625" style="935" customWidth="1"/>
    <col min="2314" max="2314" width="3.6640625" style="935" customWidth="1"/>
    <col min="2315" max="2315" width="5.44140625" style="935" bestFit="1" customWidth="1"/>
    <col min="2316" max="2316" width="9.33203125" style="935" bestFit="1" customWidth="1"/>
    <col min="2317" max="2317" width="7.6640625" style="935" customWidth="1"/>
    <col min="2318" max="2318" width="9.109375" style="935" customWidth="1"/>
    <col min="2319" max="2320" width="10.5546875" style="935" bestFit="1" customWidth="1"/>
    <col min="2321" max="2321" width="5.33203125" style="935" bestFit="1" customWidth="1"/>
    <col min="2322" max="2323" width="11.33203125" style="935" bestFit="1" customWidth="1"/>
    <col min="2324" max="2324" width="12.88671875" style="935" bestFit="1" customWidth="1"/>
    <col min="2325" max="2325" width="10.5546875" style="935" bestFit="1" customWidth="1"/>
    <col min="2326" max="2329" width="8.88671875" style="935"/>
    <col min="2330" max="2330" width="15.109375" style="935" bestFit="1" customWidth="1"/>
    <col min="2331" max="2332" width="11.5546875" style="935" bestFit="1" customWidth="1"/>
    <col min="2333" max="2566" width="8.88671875" style="935"/>
    <col min="2567" max="2567" width="7" style="935" bestFit="1" customWidth="1"/>
    <col min="2568" max="2568" width="20.5546875" style="935" bestFit="1" customWidth="1"/>
    <col min="2569" max="2569" width="3.44140625" style="935" customWidth="1"/>
    <col min="2570" max="2570" width="3.6640625" style="935" customWidth="1"/>
    <col min="2571" max="2571" width="5.44140625" style="935" bestFit="1" customWidth="1"/>
    <col min="2572" max="2572" width="9.33203125" style="935" bestFit="1" customWidth="1"/>
    <col min="2573" max="2573" width="7.6640625" style="935" customWidth="1"/>
    <col min="2574" max="2574" width="9.109375" style="935" customWidth="1"/>
    <col min="2575" max="2576" width="10.5546875" style="935" bestFit="1" customWidth="1"/>
    <col min="2577" max="2577" width="5.33203125" style="935" bestFit="1" customWidth="1"/>
    <col min="2578" max="2579" width="11.33203125" style="935" bestFit="1" customWidth="1"/>
    <col min="2580" max="2580" width="12.88671875" style="935" bestFit="1" customWidth="1"/>
    <col min="2581" max="2581" width="10.5546875" style="935" bestFit="1" customWidth="1"/>
    <col min="2582" max="2585" width="8.88671875" style="935"/>
    <col min="2586" max="2586" width="15.109375" style="935" bestFit="1" customWidth="1"/>
    <col min="2587" max="2588" width="11.5546875" style="935" bestFit="1" customWidth="1"/>
    <col min="2589" max="2822" width="8.88671875" style="935"/>
    <col min="2823" max="2823" width="7" style="935" bestFit="1" customWidth="1"/>
    <col min="2824" max="2824" width="20.5546875" style="935" bestFit="1" customWidth="1"/>
    <col min="2825" max="2825" width="3.44140625" style="935" customWidth="1"/>
    <col min="2826" max="2826" width="3.6640625" style="935" customWidth="1"/>
    <col min="2827" max="2827" width="5.44140625" style="935" bestFit="1" customWidth="1"/>
    <col min="2828" max="2828" width="9.33203125" style="935" bestFit="1" customWidth="1"/>
    <col min="2829" max="2829" width="7.6640625" style="935" customWidth="1"/>
    <col min="2830" max="2830" width="9.109375" style="935" customWidth="1"/>
    <col min="2831" max="2832" width="10.5546875" style="935" bestFit="1" customWidth="1"/>
    <col min="2833" max="2833" width="5.33203125" style="935" bestFit="1" customWidth="1"/>
    <col min="2834" max="2835" width="11.33203125" style="935" bestFit="1" customWidth="1"/>
    <col min="2836" max="2836" width="12.88671875" style="935" bestFit="1" customWidth="1"/>
    <col min="2837" max="2837" width="10.5546875" style="935" bestFit="1" customWidth="1"/>
    <col min="2838" max="2841" width="8.88671875" style="935"/>
    <col min="2842" max="2842" width="15.109375" style="935" bestFit="1" customWidth="1"/>
    <col min="2843" max="2844" width="11.5546875" style="935" bestFit="1" customWidth="1"/>
    <col min="2845" max="3078" width="8.88671875" style="935"/>
    <col min="3079" max="3079" width="7" style="935" bestFit="1" customWidth="1"/>
    <col min="3080" max="3080" width="20.5546875" style="935" bestFit="1" customWidth="1"/>
    <col min="3081" max="3081" width="3.44140625" style="935" customWidth="1"/>
    <col min="3082" max="3082" width="3.6640625" style="935" customWidth="1"/>
    <col min="3083" max="3083" width="5.44140625" style="935" bestFit="1" customWidth="1"/>
    <col min="3084" max="3084" width="9.33203125" style="935" bestFit="1" customWidth="1"/>
    <col min="3085" max="3085" width="7.6640625" style="935" customWidth="1"/>
    <col min="3086" max="3086" width="9.109375" style="935" customWidth="1"/>
    <col min="3087" max="3088" width="10.5546875" style="935" bestFit="1" customWidth="1"/>
    <col min="3089" max="3089" width="5.33203125" style="935" bestFit="1" customWidth="1"/>
    <col min="3090" max="3091" width="11.33203125" style="935" bestFit="1" customWidth="1"/>
    <col min="3092" max="3092" width="12.88671875" style="935" bestFit="1" customWidth="1"/>
    <col min="3093" max="3093" width="10.5546875" style="935" bestFit="1" customWidth="1"/>
    <col min="3094" max="3097" width="8.88671875" style="935"/>
    <col min="3098" max="3098" width="15.109375" style="935" bestFit="1" customWidth="1"/>
    <col min="3099" max="3100" width="11.5546875" style="935" bestFit="1" customWidth="1"/>
    <col min="3101" max="3334" width="8.88671875" style="935"/>
    <col min="3335" max="3335" width="7" style="935" bestFit="1" customWidth="1"/>
    <col min="3336" max="3336" width="20.5546875" style="935" bestFit="1" customWidth="1"/>
    <col min="3337" max="3337" width="3.44140625" style="935" customWidth="1"/>
    <col min="3338" max="3338" width="3.6640625" style="935" customWidth="1"/>
    <col min="3339" max="3339" width="5.44140625" style="935" bestFit="1" customWidth="1"/>
    <col min="3340" max="3340" width="9.33203125" style="935" bestFit="1" customWidth="1"/>
    <col min="3341" max="3341" width="7.6640625" style="935" customWidth="1"/>
    <col min="3342" max="3342" width="9.109375" style="935" customWidth="1"/>
    <col min="3343" max="3344" width="10.5546875" style="935" bestFit="1" customWidth="1"/>
    <col min="3345" max="3345" width="5.33203125" style="935" bestFit="1" customWidth="1"/>
    <col min="3346" max="3347" width="11.33203125" style="935" bestFit="1" customWidth="1"/>
    <col min="3348" max="3348" width="12.88671875" style="935" bestFit="1" customWidth="1"/>
    <col min="3349" max="3349" width="10.5546875" style="935" bestFit="1" customWidth="1"/>
    <col min="3350" max="3353" width="8.88671875" style="935"/>
    <col min="3354" max="3354" width="15.109375" style="935" bestFit="1" customWidth="1"/>
    <col min="3355" max="3356" width="11.5546875" style="935" bestFit="1" customWidth="1"/>
    <col min="3357" max="3590" width="8.88671875" style="935"/>
    <col min="3591" max="3591" width="7" style="935" bestFit="1" customWidth="1"/>
    <col min="3592" max="3592" width="20.5546875" style="935" bestFit="1" customWidth="1"/>
    <col min="3593" max="3593" width="3.44140625" style="935" customWidth="1"/>
    <col min="3594" max="3594" width="3.6640625" style="935" customWidth="1"/>
    <col min="3595" max="3595" width="5.44140625" style="935" bestFit="1" customWidth="1"/>
    <col min="3596" max="3596" width="9.33203125" style="935" bestFit="1" customWidth="1"/>
    <col min="3597" max="3597" width="7.6640625" style="935" customWidth="1"/>
    <col min="3598" max="3598" width="9.109375" style="935" customWidth="1"/>
    <col min="3599" max="3600" width="10.5546875" style="935" bestFit="1" customWidth="1"/>
    <col min="3601" max="3601" width="5.33203125" style="935" bestFit="1" customWidth="1"/>
    <col min="3602" max="3603" width="11.33203125" style="935" bestFit="1" customWidth="1"/>
    <col min="3604" max="3604" width="12.88671875" style="935" bestFit="1" customWidth="1"/>
    <col min="3605" max="3605" width="10.5546875" style="935" bestFit="1" customWidth="1"/>
    <col min="3606" max="3609" width="8.88671875" style="935"/>
    <col min="3610" max="3610" width="15.109375" style="935" bestFit="1" customWidth="1"/>
    <col min="3611" max="3612" width="11.5546875" style="935" bestFit="1" customWidth="1"/>
    <col min="3613" max="3846" width="8.88671875" style="935"/>
    <col min="3847" max="3847" width="7" style="935" bestFit="1" customWidth="1"/>
    <col min="3848" max="3848" width="20.5546875" style="935" bestFit="1" customWidth="1"/>
    <col min="3849" max="3849" width="3.44140625" style="935" customWidth="1"/>
    <col min="3850" max="3850" width="3.6640625" style="935" customWidth="1"/>
    <col min="3851" max="3851" width="5.44140625" style="935" bestFit="1" customWidth="1"/>
    <col min="3852" max="3852" width="9.33203125" style="935" bestFit="1" customWidth="1"/>
    <col min="3853" max="3853" width="7.6640625" style="935" customWidth="1"/>
    <col min="3854" max="3854" width="9.109375" style="935" customWidth="1"/>
    <col min="3855" max="3856" width="10.5546875" style="935" bestFit="1" customWidth="1"/>
    <col min="3857" max="3857" width="5.33203125" style="935" bestFit="1" customWidth="1"/>
    <col min="3858" max="3859" width="11.33203125" style="935" bestFit="1" customWidth="1"/>
    <col min="3860" max="3860" width="12.88671875" style="935" bestFit="1" customWidth="1"/>
    <col min="3861" max="3861" width="10.5546875" style="935" bestFit="1" customWidth="1"/>
    <col min="3862" max="3865" width="8.88671875" style="935"/>
    <col min="3866" max="3866" width="15.109375" style="935" bestFit="1" customWidth="1"/>
    <col min="3867" max="3868" width="11.5546875" style="935" bestFit="1" customWidth="1"/>
    <col min="3869" max="4102" width="8.88671875" style="935"/>
    <col min="4103" max="4103" width="7" style="935" bestFit="1" customWidth="1"/>
    <col min="4104" max="4104" width="20.5546875" style="935" bestFit="1" customWidth="1"/>
    <col min="4105" max="4105" width="3.44140625" style="935" customWidth="1"/>
    <col min="4106" max="4106" width="3.6640625" style="935" customWidth="1"/>
    <col min="4107" max="4107" width="5.44140625" style="935" bestFit="1" customWidth="1"/>
    <col min="4108" max="4108" width="9.33203125" style="935" bestFit="1" customWidth="1"/>
    <col min="4109" max="4109" width="7.6640625" style="935" customWidth="1"/>
    <col min="4110" max="4110" width="9.109375" style="935" customWidth="1"/>
    <col min="4111" max="4112" width="10.5546875" style="935" bestFit="1" customWidth="1"/>
    <col min="4113" max="4113" width="5.33203125" style="935" bestFit="1" customWidth="1"/>
    <col min="4114" max="4115" width="11.33203125" style="935" bestFit="1" customWidth="1"/>
    <col min="4116" max="4116" width="12.88671875" style="935" bestFit="1" customWidth="1"/>
    <col min="4117" max="4117" width="10.5546875" style="935" bestFit="1" customWidth="1"/>
    <col min="4118" max="4121" width="8.88671875" style="935"/>
    <col min="4122" max="4122" width="15.109375" style="935" bestFit="1" customWidth="1"/>
    <col min="4123" max="4124" width="11.5546875" style="935" bestFit="1" customWidth="1"/>
    <col min="4125" max="4358" width="8.88671875" style="935"/>
    <col min="4359" max="4359" width="7" style="935" bestFit="1" customWidth="1"/>
    <col min="4360" max="4360" width="20.5546875" style="935" bestFit="1" customWidth="1"/>
    <col min="4361" max="4361" width="3.44140625" style="935" customWidth="1"/>
    <col min="4362" max="4362" width="3.6640625" style="935" customWidth="1"/>
    <col min="4363" max="4363" width="5.44140625" style="935" bestFit="1" customWidth="1"/>
    <col min="4364" max="4364" width="9.33203125" style="935" bestFit="1" customWidth="1"/>
    <col min="4365" max="4365" width="7.6640625" style="935" customWidth="1"/>
    <col min="4366" max="4366" width="9.109375" style="935" customWidth="1"/>
    <col min="4367" max="4368" width="10.5546875" style="935" bestFit="1" customWidth="1"/>
    <col min="4369" max="4369" width="5.33203125" style="935" bestFit="1" customWidth="1"/>
    <col min="4370" max="4371" width="11.33203125" style="935" bestFit="1" customWidth="1"/>
    <col min="4372" max="4372" width="12.88671875" style="935" bestFit="1" customWidth="1"/>
    <col min="4373" max="4373" width="10.5546875" style="935" bestFit="1" customWidth="1"/>
    <col min="4374" max="4377" width="8.88671875" style="935"/>
    <col min="4378" max="4378" width="15.109375" style="935" bestFit="1" customWidth="1"/>
    <col min="4379" max="4380" width="11.5546875" style="935" bestFit="1" customWidth="1"/>
    <col min="4381" max="4614" width="8.88671875" style="935"/>
    <col min="4615" max="4615" width="7" style="935" bestFit="1" customWidth="1"/>
    <col min="4616" max="4616" width="20.5546875" style="935" bestFit="1" customWidth="1"/>
    <col min="4617" max="4617" width="3.44140625" style="935" customWidth="1"/>
    <col min="4618" max="4618" width="3.6640625" style="935" customWidth="1"/>
    <col min="4619" max="4619" width="5.44140625" style="935" bestFit="1" customWidth="1"/>
    <col min="4620" max="4620" width="9.33203125" style="935" bestFit="1" customWidth="1"/>
    <col min="4621" max="4621" width="7.6640625" style="935" customWidth="1"/>
    <col min="4622" max="4622" width="9.109375" style="935" customWidth="1"/>
    <col min="4623" max="4624" width="10.5546875" style="935" bestFit="1" customWidth="1"/>
    <col min="4625" max="4625" width="5.33203125" style="935" bestFit="1" customWidth="1"/>
    <col min="4626" max="4627" width="11.33203125" style="935" bestFit="1" customWidth="1"/>
    <col min="4628" max="4628" width="12.88671875" style="935" bestFit="1" customWidth="1"/>
    <col min="4629" max="4629" width="10.5546875" style="935" bestFit="1" customWidth="1"/>
    <col min="4630" max="4633" width="8.88671875" style="935"/>
    <col min="4634" max="4634" width="15.109375" style="935" bestFit="1" customWidth="1"/>
    <col min="4635" max="4636" width="11.5546875" style="935" bestFit="1" customWidth="1"/>
    <col min="4637" max="4870" width="8.88671875" style="935"/>
    <col min="4871" max="4871" width="7" style="935" bestFit="1" customWidth="1"/>
    <col min="4872" max="4872" width="20.5546875" style="935" bestFit="1" customWidth="1"/>
    <col min="4873" max="4873" width="3.44140625" style="935" customWidth="1"/>
    <col min="4874" max="4874" width="3.6640625" style="935" customWidth="1"/>
    <col min="4875" max="4875" width="5.44140625" style="935" bestFit="1" customWidth="1"/>
    <col min="4876" max="4876" width="9.33203125" style="935" bestFit="1" customWidth="1"/>
    <col min="4877" max="4877" width="7.6640625" style="935" customWidth="1"/>
    <col min="4878" max="4878" width="9.109375" style="935" customWidth="1"/>
    <col min="4879" max="4880" width="10.5546875" style="935" bestFit="1" customWidth="1"/>
    <col min="4881" max="4881" width="5.33203125" style="935" bestFit="1" customWidth="1"/>
    <col min="4882" max="4883" width="11.33203125" style="935" bestFit="1" customWidth="1"/>
    <col min="4884" max="4884" width="12.88671875" style="935" bestFit="1" customWidth="1"/>
    <col min="4885" max="4885" width="10.5546875" style="935" bestFit="1" customWidth="1"/>
    <col min="4886" max="4889" width="8.88671875" style="935"/>
    <col min="4890" max="4890" width="15.109375" style="935" bestFit="1" customWidth="1"/>
    <col min="4891" max="4892" width="11.5546875" style="935" bestFit="1" customWidth="1"/>
    <col min="4893" max="5126" width="8.88671875" style="935"/>
    <col min="5127" max="5127" width="7" style="935" bestFit="1" customWidth="1"/>
    <col min="5128" max="5128" width="20.5546875" style="935" bestFit="1" customWidth="1"/>
    <col min="5129" max="5129" width="3.44140625" style="935" customWidth="1"/>
    <col min="5130" max="5130" width="3.6640625" style="935" customWidth="1"/>
    <col min="5131" max="5131" width="5.44140625" style="935" bestFit="1" customWidth="1"/>
    <col min="5132" max="5132" width="9.33203125" style="935" bestFit="1" customWidth="1"/>
    <col min="5133" max="5133" width="7.6640625" style="935" customWidth="1"/>
    <col min="5134" max="5134" width="9.109375" style="935" customWidth="1"/>
    <col min="5135" max="5136" width="10.5546875" style="935" bestFit="1" customWidth="1"/>
    <col min="5137" max="5137" width="5.33203125" style="935" bestFit="1" customWidth="1"/>
    <col min="5138" max="5139" width="11.33203125" style="935" bestFit="1" customWidth="1"/>
    <col min="5140" max="5140" width="12.88671875" style="935" bestFit="1" customWidth="1"/>
    <col min="5141" max="5141" width="10.5546875" style="935" bestFit="1" customWidth="1"/>
    <col min="5142" max="5145" width="8.88671875" style="935"/>
    <col min="5146" max="5146" width="15.109375" style="935" bestFit="1" customWidth="1"/>
    <col min="5147" max="5148" width="11.5546875" style="935" bestFit="1" customWidth="1"/>
    <col min="5149" max="5382" width="8.88671875" style="935"/>
    <col min="5383" max="5383" width="7" style="935" bestFit="1" customWidth="1"/>
    <col min="5384" max="5384" width="20.5546875" style="935" bestFit="1" customWidth="1"/>
    <col min="5385" max="5385" width="3.44140625" style="935" customWidth="1"/>
    <col min="5386" max="5386" width="3.6640625" style="935" customWidth="1"/>
    <col min="5387" max="5387" width="5.44140625" style="935" bestFit="1" customWidth="1"/>
    <col min="5388" max="5388" width="9.33203125" style="935" bestFit="1" customWidth="1"/>
    <col min="5389" max="5389" width="7.6640625" style="935" customWidth="1"/>
    <col min="5390" max="5390" width="9.109375" style="935" customWidth="1"/>
    <col min="5391" max="5392" width="10.5546875" style="935" bestFit="1" customWidth="1"/>
    <col min="5393" max="5393" width="5.33203125" style="935" bestFit="1" customWidth="1"/>
    <col min="5394" max="5395" width="11.33203125" style="935" bestFit="1" customWidth="1"/>
    <col min="5396" max="5396" width="12.88671875" style="935" bestFit="1" customWidth="1"/>
    <col min="5397" max="5397" width="10.5546875" style="935" bestFit="1" customWidth="1"/>
    <col min="5398" max="5401" width="8.88671875" style="935"/>
    <col min="5402" max="5402" width="15.109375" style="935" bestFit="1" customWidth="1"/>
    <col min="5403" max="5404" width="11.5546875" style="935" bestFit="1" customWidth="1"/>
    <col min="5405" max="5638" width="8.88671875" style="935"/>
    <col min="5639" max="5639" width="7" style="935" bestFit="1" customWidth="1"/>
    <col min="5640" max="5640" width="20.5546875" style="935" bestFit="1" customWidth="1"/>
    <col min="5641" max="5641" width="3.44140625" style="935" customWidth="1"/>
    <col min="5642" max="5642" width="3.6640625" style="935" customWidth="1"/>
    <col min="5643" max="5643" width="5.44140625" style="935" bestFit="1" customWidth="1"/>
    <col min="5644" max="5644" width="9.33203125" style="935" bestFit="1" customWidth="1"/>
    <col min="5645" max="5645" width="7.6640625" style="935" customWidth="1"/>
    <col min="5646" max="5646" width="9.109375" style="935" customWidth="1"/>
    <col min="5647" max="5648" width="10.5546875" style="935" bestFit="1" customWidth="1"/>
    <col min="5649" max="5649" width="5.33203125" style="935" bestFit="1" customWidth="1"/>
    <col min="5650" max="5651" width="11.33203125" style="935" bestFit="1" customWidth="1"/>
    <col min="5652" max="5652" width="12.88671875" style="935" bestFit="1" customWidth="1"/>
    <col min="5653" max="5653" width="10.5546875" style="935" bestFit="1" customWidth="1"/>
    <col min="5654" max="5657" width="8.88671875" style="935"/>
    <col min="5658" max="5658" width="15.109375" style="935" bestFit="1" customWidth="1"/>
    <col min="5659" max="5660" width="11.5546875" style="935" bestFit="1" customWidth="1"/>
    <col min="5661" max="5894" width="8.88671875" style="935"/>
    <col min="5895" max="5895" width="7" style="935" bestFit="1" customWidth="1"/>
    <col min="5896" max="5896" width="20.5546875" style="935" bestFit="1" customWidth="1"/>
    <col min="5897" max="5897" width="3.44140625" style="935" customWidth="1"/>
    <col min="5898" max="5898" width="3.6640625" style="935" customWidth="1"/>
    <col min="5899" max="5899" width="5.44140625" style="935" bestFit="1" customWidth="1"/>
    <col min="5900" max="5900" width="9.33203125" style="935" bestFit="1" customWidth="1"/>
    <col min="5901" max="5901" width="7.6640625" style="935" customWidth="1"/>
    <col min="5902" max="5902" width="9.109375" style="935" customWidth="1"/>
    <col min="5903" max="5904" width="10.5546875" style="935" bestFit="1" customWidth="1"/>
    <col min="5905" max="5905" width="5.33203125" style="935" bestFit="1" customWidth="1"/>
    <col min="5906" max="5907" width="11.33203125" style="935" bestFit="1" customWidth="1"/>
    <col min="5908" max="5908" width="12.88671875" style="935" bestFit="1" customWidth="1"/>
    <col min="5909" max="5909" width="10.5546875" style="935" bestFit="1" customWidth="1"/>
    <col min="5910" max="5913" width="8.88671875" style="935"/>
    <col min="5914" max="5914" width="15.109375" style="935" bestFit="1" customWidth="1"/>
    <col min="5915" max="5916" width="11.5546875" style="935" bestFit="1" customWidth="1"/>
    <col min="5917" max="6150" width="8.88671875" style="935"/>
    <col min="6151" max="6151" width="7" style="935" bestFit="1" customWidth="1"/>
    <col min="6152" max="6152" width="20.5546875" style="935" bestFit="1" customWidth="1"/>
    <col min="6153" max="6153" width="3.44140625" style="935" customWidth="1"/>
    <col min="6154" max="6154" width="3.6640625" style="935" customWidth="1"/>
    <col min="6155" max="6155" width="5.44140625" style="935" bestFit="1" customWidth="1"/>
    <col min="6156" max="6156" width="9.33203125" style="935" bestFit="1" customWidth="1"/>
    <col min="6157" max="6157" width="7.6640625" style="935" customWidth="1"/>
    <col min="6158" max="6158" width="9.109375" style="935" customWidth="1"/>
    <col min="6159" max="6160" width="10.5546875" style="935" bestFit="1" customWidth="1"/>
    <col min="6161" max="6161" width="5.33203125" style="935" bestFit="1" customWidth="1"/>
    <col min="6162" max="6163" width="11.33203125" style="935" bestFit="1" customWidth="1"/>
    <col min="6164" max="6164" width="12.88671875" style="935" bestFit="1" customWidth="1"/>
    <col min="6165" max="6165" width="10.5546875" style="935" bestFit="1" customWidth="1"/>
    <col min="6166" max="6169" width="8.88671875" style="935"/>
    <col min="6170" max="6170" width="15.109375" style="935" bestFit="1" customWidth="1"/>
    <col min="6171" max="6172" width="11.5546875" style="935" bestFit="1" customWidth="1"/>
    <col min="6173" max="6406" width="8.88671875" style="935"/>
    <col min="6407" max="6407" width="7" style="935" bestFit="1" customWidth="1"/>
    <col min="6408" max="6408" width="20.5546875" style="935" bestFit="1" customWidth="1"/>
    <col min="6409" max="6409" width="3.44140625" style="935" customWidth="1"/>
    <col min="6410" max="6410" width="3.6640625" style="935" customWidth="1"/>
    <col min="6411" max="6411" width="5.44140625" style="935" bestFit="1" customWidth="1"/>
    <col min="6412" max="6412" width="9.33203125" style="935" bestFit="1" customWidth="1"/>
    <col min="6413" max="6413" width="7.6640625" style="935" customWidth="1"/>
    <col min="6414" max="6414" width="9.109375" style="935" customWidth="1"/>
    <col min="6415" max="6416" width="10.5546875" style="935" bestFit="1" customWidth="1"/>
    <col min="6417" max="6417" width="5.33203125" style="935" bestFit="1" customWidth="1"/>
    <col min="6418" max="6419" width="11.33203125" style="935" bestFit="1" customWidth="1"/>
    <col min="6420" max="6420" width="12.88671875" style="935" bestFit="1" customWidth="1"/>
    <col min="6421" max="6421" width="10.5546875" style="935" bestFit="1" customWidth="1"/>
    <col min="6422" max="6425" width="8.88671875" style="935"/>
    <col min="6426" max="6426" width="15.109375" style="935" bestFit="1" customWidth="1"/>
    <col min="6427" max="6428" width="11.5546875" style="935" bestFit="1" customWidth="1"/>
    <col min="6429" max="6662" width="8.88671875" style="935"/>
    <col min="6663" max="6663" width="7" style="935" bestFit="1" customWidth="1"/>
    <col min="6664" max="6664" width="20.5546875" style="935" bestFit="1" customWidth="1"/>
    <col min="6665" max="6665" width="3.44140625" style="935" customWidth="1"/>
    <col min="6666" max="6666" width="3.6640625" style="935" customWidth="1"/>
    <col min="6667" max="6667" width="5.44140625" style="935" bestFit="1" customWidth="1"/>
    <col min="6668" max="6668" width="9.33203125" style="935" bestFit="1" customWidth="1"/>
    <col min="6669" max="6669" width="7.6640625" style="935" customWidth="1"/>
    <col min="6670" max="6670" width="9.109375" style="935" customWidth="1"/>
    <col min="6671" max="6672" width="10.5546875" style="935" bestFit="1" customWidth="1"/>
    <col min="6673" max="6673" width="5.33203125" style="935" bestFit="1" customWidth="1"/>
    <col min="6674" max="6675" width="11.33203125" style="935" bestFit="1" customWidth="1"/>
    <col min="6676" max="6676" width="12.88671875" style="935" bestFit="1" customWidth="1"/>
    <col min="6677" max="6677" width="10.5546875" style="935" bestFit="1" customWidth="1"/>
    <col min="6678" max="6681" width="8.88671875" style="935"/>
    <col min="6682" max="6682" width="15.109375" style="935" bestFit="1" customWidth="1"/>
    <col min="6683" max="6684" width="11.5546875" style="935" bestFit="1" customWidth="1"/>
    <col min="6685" max="6918" width="8.88671875" style="935"/>
    <col min="6919" max="6919" width="7" style="935" bestFit="1" customWidth="1"/>
    <col min="6920" max="6920" width="20.5546875" style="935" bestFit="1" customWidth="1"/>
    <col min="6921" max="6921" width="3.44140625" style="935" customWidth="1"/>
    <col min="6922" max="6922" width="3.6640625" style="935" customWidth="1"/>
    <col min="6923" max="6923" width="5.44140625" style="935" bestFit="1" customWidth="1"/>
    <col min="6924" max="6924" width="9.33203125" style="935" bestFit="1" customWidth="1"/>
    <col min="6925" max="6925" width="7.6640625" style="935" customWidth="1"/>
    <col min="6926" max="6926" width="9.109375" style="935" customWidth="1"/>
    <col min="6927" max="6928" width="10.5546875" style="935" bestFit="1" customWidth="1"/>
    <col min="6929" max="6929" width="5.33203125" style="935" bestFit="1" customWidth="1"/>
    <col min="6930" max="6931" width="11.33203125" style="935" bestFit="1" customWidth="1"/>
    <col min="6932" max="6932" width="12.88671875" style="935" bestFit="1" customWidth="1"/>
    <col min="6933" max="6933" width="10.5546875" style="935" bestFit="1" customWidth="1"/>
    <col min="6934" max="6937" width="8.88671875" style="935"/>
    <col min="6938" max="6938" width="15.109375" style="935" bestFit="1" customWidth="1"/>
    <col min="6939" max="6940" width="11.5546875" style="935" bestFit="1" customWidth="1"/>
    <col min="6941" max="7174" width="8.88671875" style="935"/>
    <col min="7175" max="7175" width="7" style="935" bestFit="1" customWidth="1"/>
    <col min="7176" max="7176" width="20.5546875" style="935" bestFit="1" customWidth="1"/>
    <col min="7177" max="7177" width="3.44140625" style="935" customWidth="1"/>
    <col min="7178" max="7178" width="3.6640625" style="935" customWidth="1"/>
    <col min="7179" max="7179" width="5.44140625" style="935" bestFit="1" customWidth="1"/>
    <col min="7180" max="7180" width="9.33203125" style="935" bestFit="1" customWidth="1"/>
    <col min="7181" max="7181" width="7.6640625" style="935" customWidth="1"/>
    <col min="7182" max="7182" width="9.109375" style="935" customWidth="1"/>
    <col min="7183" max="7184" width="10.5546875" style="935" bestFit="1" customWidth="1"/>
    <col min="7185" max="7185" width="5.33203125" style="935" bestFit="1" customWidth="1"/>
    <col min="7186" max="7187" width="11.33203125" style="935" bestFit="1" customWidth="1"/>
    <col min="7188" max="7188" width="12.88671875" style="935" bestFit="1" customWidth="1"/>
    <col min="7189" max="7189" width="10.5546875" style="935" bestFit="1" customWidth="1"/>
    <col min="7190" max="7193" width="8.88671875" style="935"/>
    <col min="7194" max="7194" width="15.109375" style="935" bestFit="1" customWidth="1"/>
    <col min="7195" max="7196" width="11.5546875" style="935" bestFit="1" customWidth="1"/>
    <col min="7197" max="7430" width="8.88671875" style="935"/>
    <col min="7431" max="7431" width="7" style="935" bestFit="1" customWidth="1"/>
    <col min="7432" max="7432" width="20.5546875" style="935" bestFit="1" customWidth="1"/>
    <col min="7433" max="7433" width="3.44140625" style="935" customWidth="1"/>
    <col min="7434" max="7434" width="3.6640625" style="935" customWidth="1"/>
    <col min="7435" max="7435" width="5.44140625" style="935" bestFit="1" customWidth="1"/>
    <col min="7436" max="7436" width="9.33203125" style="935" bestFit="1" customWidth="1"/>
    <col min="7437" max="7437" width="7.6640625" style="935" customWidth="1"/>
    <col min="7438" max="7438" width="9.109375" style="935" customWidth="1"/>
    <col min="7439" max="7440" width="10.5546875" style="935" bestFit="1" customWidth="1"/>
    <col min="7441" max="7441" width="5.33203125" style="935" bestFit="1" customWidth="1"/>
    <col min="7442" max="7443" width="11.33203125" style="935" bestFit="1" customWidth="1"/>
    <col min="7444" max="7444" width="12.88671875" style="935" bestFit="1" customWidth="1"/>
    <col min="7445" max="7445" width="10.5546875" style="935" bestFit="1" customWidth="1"/>
    <col min="7446" max="7449" width="8.88671875" style="935"/>
    <col min="7450" max="7450" width="15.109375" style="935" bestFit="1" customWidth="1"/>
    <col min="7451" max="7452" width="11.5546875" style="935" bestFit="1" customWidth="1"/>
    <col min="7453" max="7686" width="8.88671875" style="935"/>
    <col min="7687" max="7687" width="7" style="935" bestFit="1" customWidth="1"/>
    <col min="7688" max="7688" width="20.5546875" style="935" bestFit="1" customWidth="1"/>
    <col min="7689" max="7689" width="3.44140625" style="935" customWidth="1"/>
    <col min="7690" max="7690" width="3.6640625" style="935" customWidth="1"/>
    <col min="7691" max="7691" width="5.44140625" style="935" bestFit="1" customWidth="1"/>
    <col min="7692" max="7692" width="9.33203125" style="935" bestFit="1" customWidth="1"/>
    <col min="7693" max="7693" width="7.6640625" style="935" customWidth="1"/>
    <col min="7694" max="7694" width="9.109375" style="935" customWidth="1"/>
    <col min="7695" max="7696" width="10.5546875" style="935" bestFit="1" customWidth="1"/>
    <col min="7697" max="7697" width="5.33203125" style="935" bestFit="1" customWidth="1"/>
    <col min="7698" max="7699" width="11.33203125" style="935" bestFit="1" customWidth="1"/>
    <col min="7700" max="7700" width="12.88671875" style="935" bestFit="1" customWidth="1"/>
    <col min="7701" max="7701" width="10.5546875" style="935" bestFit="1" customWidth="1"/>
    <col min="7702" max="7705" width="8.88671875" style="935"/>
    <col min="7706" max="7706" width="15.109375" style="935" bestFit="1" customWidth="1"/>
    <col min="7707" max="7708" width="11.5546875" style="935" bestFit="1" customWidth="1"/>
    <col min="7709" max="7942" width="8.88671875" style="935"/>
    <col min="7943" max="7943" width="7" style="935" bestFit="1" customWidth="1"/>
    <col min="7944" max="7944" width="20.5546875" style="935" bestFit="1" customWidth="1"/>
    <col min="7945" max="7945" width="3.44140625" style="935" customWidth="1"/>
    <col min="7946" max="7946" width="3.6640625" style="935" customWidth="1"/>
    <col min="7947" max="7947" width="5.44140625" style="935" bestFit="1" customWidth="1"/>
    <col min="7948" max="7948" width="9.33203125" style="935" bestFit="1" customWidth="1"/>
    <col min="7949" max="7949" width="7.6640625" style="935" customWidth="1"/>
    <col min="7950" max="7950" width="9.109375" style="935" customWidth="1"/>
    <col min="7951" max="7952" width="10.5546875" style="935" bestFit="1" customWidth="1"/>
    <col min="7953" max="7953" width="5.33203125" style="935" bestFit="1" customWidth="1"/>
    <col min="7954" max="7955" width="11.33203125" style="935" bestFit="1" customWidth="1"/>
    <col min="7956" max="7956" width="12.88671875" style="935" bestFit="1" customWidth="1"/>
    <col min="7957" max="7957" width="10.5546875" style="935" bestFit="1" customWidth="1"/>
    <col min="7958" max="7961" width="8.88671875" style="935"/>
    <col min="7962" max="7962" width="15.109375" style="935" bestFit="1" customWidth="1"/>
    <col min="7963" max="7964" width="11.5546875" style="935" bestFit="1" customWidth="1"/>
    <col min="7965" max="8198" width="8.88671875" style="935"/>
    <col min="8199" max="8199" width="7" style="935" bestFit="1" customWidth="1"/>
    <col min="8200" max="8200" width="20.5546875" style="935" bestFit="1" customWidth="1"/>
    <col min="8201" max="8201" width="3.44140625" style="935" customWidth="1"/>
    <col min="8202" max="8202" width="3.6640625" style="935" customWidth="1"/>
    <col min="8203" max="8203" width="5.44140625" style="935" bestFit="1" customWidth="1"/>
    <col min="8204" max="8204" width="9.33203125" style="935" bestFit="1" customWidth="1"/>
    <col min="8205" max="8205" width="7.6640625" style="935" customWidth="1"/>
    <col min="8206" max="8206" width="9.109375" style="935" customWidth="1"/>
    <col min="8207" max="8208" width="10.5546875" style="935" bestFit="1" customWidth="1"/>
    <col min="8209" max="8209" width="5.33203125" style="935" bestFit="1" customWidth="1"/>
    <col min="8210" max="8211" width="11.33203125" style="935" bestFit="1" customWidth="1"/>
    <col min="8212" max="8212" width="12.88671875" style="935" bestFit="1" customWidth="1"/>
    <col min="8213" max="8213" width="10.5546875" style="935" bestFit="1" customWidth="1"/>
    <col min="8214" max="8217" width="8.88671875" style="935"/>
    <col min="8218" max="8218" width="15.109375" style="935" bestFit="1" customWidth="1"/>
    <col min="8219" max="8220" width="11.5546875" style="935" bestFit="1" customWidth="1"/>
    <col min="8221" max="8454" width="8.88671875" style="935"/>
    <col min="8455" max="8455" width="7" style="935" bestFit="1" customWidth="1"/>
    <col min="8456" max="8456" width="20.5546875" style="935" bestFit="1" customWidth="1"/>
    <col min="8457" max="8457" width="3.44140625" style="935" customWidth="1"/>
    <col min="8458" max="8458" width="3.6640625" style="935" customWidth="1"/>
    <col min="8459" max="8459" width="5.44140625" style="935" bestFit="1" customWidth="1"/>
    <col min="8460" max="8460" width="9.33203125" style="935" bestFit="1" customWidth="1"/>
    <col min="8461" max="8461" width="7.6640625" style="935" customWidth="1"/>
    <col min="8462" max="8462" width="9.109375" style="935" customWidth="1"/>
    <col min="8463" max="8464" width="10.5546875" style="935" bestFit="1" customWidth="1"/>
    <col min="8465" max="8465" width="5.33203125" style="935" bestFit="1" customWidth="1"/>
    <col min="8466" max="8467" width="11.33203125" style="935" bestFit="1" customWidth="1"/>
    <col min="8468" max="8468" width="12.88671875" style="935" bestFit="1" customWidth="1"/>
    <col min="8469" max="8469" width="10.5546875" style="935" bestFit="1" customWidth="1"/>
    <col min="8470" max="8473" width="8.88671875" style="935"/>
    <col min="8474" max="8474" width="15.109375" style="935" bestFit="1" customWidth="1"/>
    <col min="8475" max="8476" width="11.5546875" style="935" bestFit="1" customWidth="1"/>
    <col min="8477" max="8710" width="8.88671875" style="935"/>
    <col min="8711" max="8711" width="7" style="935" bestFit="1" customWidth="1"/>
    <col min="8712" max="8712" width="20.5546875" style="935" bestFit="1" customWidth="1"/>
    <col min="8713" max="8713" width="3.44140625" style="935" customWidth="1"/>
    <col min="8714" max="8714" width="3.6640625" style="935" customWidth="1"/>
    <col min="8715" max="8715" width="5.44140625" style="935" bestFit="1" customWidth="1"/>
    <col min="8716" max="8716" width="9.33203125" style="935" bestFit="1" customWidth="1"/>
    <col min="8717" max="8717" width="7.6640625" style="935" customWidth="1"/>
    <col min="8718" max="8718" width="9.109375" style="935" customWidth="1"/>
    <col min="8719" max="8720" width="10.5546875" style="935" bestFit="1" customWidth="1"/>
    <col min="8721" max="8721" width="5.33203125" style="935" bestFit="1" customWidth="1"/>
    <col min="8722" max="8723" width="11.33203125" style="935" bestFit="1" customWidth="1"/>
    <col min="8724" max="8724" width="12.88671875" style="935" bestFit="1" customWidth="1"/>
    <col min="8725" max="8725" width="10.5546875" style="935" bestFit="1" customWidth="1"/>
    <col min="8726" max="8729" width="8.88671875" style="935"/>
    <col min="8730" max="8730" width="15.109375" style="935" bestFit="1" customWidth="1"/>
    <col min="8731" max="8732" width="11.5546875" style="935" bestFit="1" customWidth="1"/>
    <col min="8733" max="8966" width="8.88671875" style="935"/>
    <col min="8967" max="8967" width="7" style="935" bestFit="1" customWidth="1"/>
    <col min="8968" max="8968" width="20.5546875" style="935" bestFit="1" customWidth="1"/>
    <col min="8969" max="8969" width="3.44140625" style="935" customWidth="1"/>
    <col min="8970" max="8970" width="3.6640625" style="935" customWidth="1"/>
    <col min="8971" max="8971" width="5.44140625" style="935" bestFit="1" customWidth="1"/>
    <col min="8972" max="8972" width="9.33203125" style="935" bestFit="1" customWidth="1"/>
    <col min="8973" max="8973" width="7.6640625" style="935" customWidth="1"/>
    <col min="8974" max="8974" width="9.109375" style="935" customWidth="1"/>
    <col min="8975" max="8976" width="10.5546875" style="935" bestFit="1" customWidth="1"/>
    <col min="8977" max="8977" width="5.33203125" style="935" bestFit="1" customWidth="1"/>
    <col min="8978" max="8979" width="11.33203125" style="935" bestFit="1" customWidth="1"/>
    <col min="8980" max="8980" width="12.88671875" style="935" bestFit="1" customWidth="1"/>
    <col min="8981" max="8981" width="10.5546875" style="935" bestFit="1" customWidth="1"/>
    <col min="8982" max="8985" width="8.88671875" style="935"/>
    <col min="8986" max="8986" width="15.109375" style="935" bestFit="1" customWidth="1"/>
    <col min="8987" max="8988" width="11.5546875" style="935" bestFit="1" customWidth="1"/>
    <col min="8989" max="9222" width="8.88671875" style="935"/>
    <col min="9223" max="9223" width="7" style="935" bestFit="1" customWidth="1"/>
    <col min="9224" max="9224" width="20.5546875" style="935" bestFit="1" customWidth="1"/>
    <col min="9225" max="9225" width="3.44140625" style="935" customWidth="1"/>
    <col min="9226" max="9226" width="3.6640625" style="935" customWidth="1"/>
    <col min="9227" max="9227" width="5.44140625" style="935" bestFit="1" customWidth="1"/>
    <col min="9228" max="9228" width="9.33203125" style="935" bestFit="1" customWidth="1"/>
    <col min="9229" max="9229" width="7.6640625" style="935" customWidth="1"/>
    <col min="9230" max="9230" width="9.109375" style="935" customWidth="1"/>
    <col min="9231" max="9232" width="10.5546875" style="935" bestFit="1" customWidth="1"/>
    <col min="9233" max="9233" width="5.33203125" style="935" bestFit="1" customWidth="1"/>
    <col min="9234" max="9235" width="11.33203125" style="935" bestFit="1" customWidth="1"/>
    <col min="9236" max="9236" width="12.88671875" style="935" bestFit="1" customWidth="1"/>
    <col min="9237" max="9237" width="10.5546875" style="935" bestFit="1" customWidth="1"/>
    <col min="9238" max="9241" width="8.88671875" style="935"/>
    <col min="9242" max="9242" width="15.109375" style="935" bestFit="1" customWidth="1"/>
    <col min="9243" max="9244" width="11.5546875" style="935" bestFit="1" customWidth="1"/>
    <col min="9245" max="9478" width="8.88671875" style="935"/>
    <col min="9479" max="9479" width="7" style="935" bestFit="1" customWidth="1"/>
    <col min="9480" max="9480" width="20.5546875" style="935" bestFit="1" customWidth="1"/>
    <col min="9481" max="9481" width="3.44140625" style="935" customWidth="1"/>
    <col min="9482" max="9482" width="3.6640625" style="935" customWidth="1"/>
    <col min="9483" max="9483" width="5.44140625" style="935" bestFit="1" customWidth="1"/>
    <col min="9484" max="9484" width="9.33203125" style="935" bestFit="1" customWidth="1"/>
    <col min="9485" max="9485" width="7.6640625" style="935" customWidth="1"/>
    <col min="9486" max="9486" width="9.109375" style="935" customWidth="1"/>
    <col min="9487" max="9488" width="10.5546875" style="935" bestFit="1" customWidth="1"/>
    <col min="9489" max="9489" width="5.33203125" style="935" bestFit="1" customWidth="1"/>
    <col min="9490" max="9491" width="11.33203125" style="935" bestFit="1" customWidth="1"/>
    <col min="9492" max="9492" width="12.88671875" style="935" bestFit="1" customWidth="1"/>
    <col min="9493" max="9493" width="10.5546875" style="935" bestFit="1" customWidth="1"/>
    <col min="9494" max="9497" width="8.88671875" style="935"/>
    <col min="9498" max="9498" width="15.109375" style="935" bestFit="1" customWidth="1"/>
    <col min="9499" max="9500" width="11.5546875" style="935" bestFit="1" customWidth="1"/>
    <col min="9501" max="9734" width="8.88671875" style="935"/>
    <col min="9735" max="9735" width="7" style="935" bestFit="1" customWidth="1"/>
    <col min="9736" max="9736" width="20.5546875" style="935" bestFit="1" customWidth="1"/>
    <col min="9737" max="9737" width="3.44140625" style="935" customWidth="1"/>
    <col min="9738" max="9738" width="3.6640625" style="935" customWidth="1"/>
    <col min="9739" max="9739" width="5.44140625" style="935" bestFit="1" customWidth="1"/>
    <col min="9740" max="9740" width="9.33203125" style="935" bestFit="1" customWidth="1"/>
    <col min="9741" max="9741" width="7.6640625" style="935" customWidth="1"/>
    <col min="9742" max="9742" width="9.109375" style="935" customWidth="1"/>
    <col min="9743" max="9744" width="10.5546875" style="935" bestFit="1" customWidth="1"/>
    <col min="9745" max="9745" width="5.33203125" style="935" bestFit="1" customWidth="1"/>
    <col min="9746" max="9747" width="11.33203125" style="935" bestFit="1" customWidth="1"/>
    <col min="9748" max="9748" width="12.88671875" style="935" bestFit="1" customWidth="1"/>
    <col min="9749" max="9749" width="10.5546875" style="935" bestFit="1" customWidth="1"/>
    <col min="9750" max="9753" width="8.88671875" style="935"/>
    <col min="9754" max="9754" width="15.109375" style="935" bestFit="1" customWidth="1"/>
    <col min="9755" max="9756" width="11.5546875" style="935" bestFit="1" customWidth="1"/>
    <col min="9757" max="9990" width="8.88671875" style="935"/>
    <col min="9991" max="9991" width="7" style="935" bestFit="1" customWidth="1"/>
    <col min="9992" max="9992" width="20.5546875" style="935" bestFit="1" customWidth="1"/>
    <col min="9993" max="9993" width="3.44140625" style="935" customWidth="1"/>
    <col min="9994" max="9994" width="3.6640625" style="935" customWidth="1"/>
    <col min="9995" max="9995" width="5.44140625" style="935" bestFit="1" customWidth="1"/>
    <col min="9996" max="9996" width="9.33203125" style="935" bestFit="1" customWidth="1"/>
    <col min="9997" max="9997" width="7.6640625" style="935" customWidth="1"/>
    <col min="9998" max="9998" width="9.109375" style="935" customWidth="1"/>
    <col min="9999" max="10000" width="10.5546875" style="935" bestFit="1" customWidth="1"/>
    <col min="10001" max="10001" width="5.33203125" style="935" bestFit="1" customWidth="1"/>
    <col min="10002" max="10003" width="11.33203125" style="935" bestFit="1" customWidth="1"/>
    <col min="10004" max="10004" width="12.88671875" style="935" bestFit="1" customWidth="1"/>
    <col min="10005" max="10005" width="10.5546875" style="935" bestFit="1" customWidth="1"/>
    <col min="10006" max="10009" width="8.88671875" style="935"/>
    <col min="10010" max="10010" width="15.109375" style="935" bestFit="1" customWidth="1"/>
    <col min="10011" max="10012" width="11.5546875" style="935" bestFit="1" customWidth="1"/>
    <col min="10013" max="10246" width="8.88671875" style="935"/>
    <col min="10247" max="10247" width="7" style="935" bestFit="1" customWidth="1"/>
    <col min="10248" max="10248" width="20.5546875" style="935" bestFit="1" customWidth="1"/>
    <col min="10249" max="10249" width="3.44140625" style="935" customWidth="1"/>
    <col min="10250" max="10250" width="3.6640625" style="935" customWidth="1"/>
    <col min="10251" max="10251" width="5.44140625" style="935" bestFit="1" customWidth="1"/>
    <col min="10252" max="10252" width="9.33203125" style="935" bestFit="1" customWidth="1"/>
    <col min="10253" max="10253" width="7.6640625" style="935" customWidth="1"/>
    <col min="10254" max="10254" width="9.109375" style="935" customWidth="1"/>
    <col min="10255" max="10256" width="10.5546875" style="935" bestFit="1" customWidth="1"/>
    <col min="10257" max="10257" width="5.33203125" style="935" bestFit="1" customWidth="1"/>
    <col min="10258" max="10259" width="11.33203125" style="935" bestFit="1" customWidth="1"/>
    <col min="10260" max="10260" width="12.88671875" style="935" bestFit="1" customWidth="1"/>
    <col min="10261" max="10261" width="10.5546875" style="935" bestFit="1" customWidth="1"/>
    <col min="10262" max="10265" width="8.88671875" style="935"/>
    <col min="10266" max="10266" width="15.109375" style="935" bestFit="1" customWidth="1"/>
    <col min="10267" max="10268" width="11.5546875" style="935" bestFit="1" customWidth="1"/>
    <col min="10269" max="10502" width="8.88671875" style="935"/>
    <col min="10503" max="10503" width="7" style="935" bestFit="1" customWidth="1"/>
    <col min="10504" max="10504" width="20.5546875" style="935" bestFit="1" customWidth="1"/>
    <col min="10505" max="10505" width="3.44140625" style="935" customWidth="1"/>
    <col min="10506" max="10506" width="3.6640625" style="935" customWidth="1"/>
    <col min="10507" max="10507" width="5.44140625" style="935" bestFit="1" customWidth="1"/>
    <col min="10508" max="10508" width="9.33203125" style="935" bestFit="1" customWidth="1"/>
    <col min="10509" max="10509" width="7.6640625" style="935" customWidth="1"/>
    <col min="10510" max="10510" width="9.109375" style="935" customWidth="1"/>
    <col min="10511" max="10512" width="10.5546875" style="935" bestFit="1" customWidth="1"/>
    <col min="10513" max="10513" width="5.33203125" style="935" bestFit="1" customWidth="1"/>
    <col min="10514" max="10515" width="11.33203125" style="935" bestFit="1" customWidth="1"/>
    <col min="10516" max="10516" width="12.88671875" style="935" bestFit="1" customWidth="1"/>
    <col min="10517" max="10517" width="10.5546875" style="935" bestFit="1" customWidth="1"/>
    <col min="10518" max="10521" width="8.88671875" style="935"/>
    <col min="10522" max="10522" width="15.109375" style="935" bestFit="1" customWidth="1"/>
    <col min="10523" max="10524" width="11.5546875" style="935" bestFit="1" customWidth="1"/>
    <col min="10525" max="10758" width="8.88671875" style="935"/>
    <col min="10759" max="10759" width="7" style="935" bestFit="1" customWidth="1"/>
    <col min="10760" max="10760" width="20.5546875" style="935" bestFit="1" customWidth="1"/>
    <col min="10761" max="10761" width="3.44140625" style="935" customWidth="1"/>
    <col min="10762" max="10762" width="3.6640625" style="935" customWidth="1"/>
    <col min="10763" max="10763" width="5.44140625" style="935" bestFit="1" customWidth="1"/>
    <col min="10764" max="10764" width="9.33203125" style="935" bestFit="1" customWidth="1"/>
    <col min="10765" max="10765" width="7.6640625" style="935" customWidth="1"/>
    <col min="10766" max="10766" width="9.109375" style="935" customWidth="1"/>
    <col min="10767" max="10768" width="10.5546875" style="935" bestFit="1" customWidth="1"/>
    <col min="10769" max="10769" width="5.33203125" style="935" bestFit="1" customWidth="1"/>
    <col min="10770" max="10771" width="11.33203125" style="935" bestFit="1" customWidth="1"/>
    <col min="10772" max="10772" width="12.88671875" style="935" bestFit="1" customWidth="1"/>
    <col min="10773" max="10773" width="10.5546875" style="935" bestFit="1" customWidth="1"/>
    <col min="10774" max="10777" width="8.88671875" style="935"/>
    <col min="10778" max="10778" width="15.109375" style="935" bestFit="1" customWidth="1"/>
    <col min="10779" max="10780" width="11.5546875" style="935" bestFit="1" customWidth="1"/>
    <col min="10781" max="11014" width="8.88671875" style="935"/>
    <col min="11015" max="11015" width="7" style="935" bestFit="1" customWidth="1"/>
    <col min="11016" max="11016" width="20.5546875" style="935" bestFit="1" customWidth="1"/>
    <col min="11017" max="11017" width="3.44140625" style="935" customWidth="1"/>
    <col min="11018" max="11018" width="3.6640625" style="935" customWidth="1"/>
    <col min="11019" max="11019" width="5.44140625" style="935" bestFit="1" customWidth="1"/>
    <col min="11020" max="11020" width="9.33203125" style="935" bestFit="1" customWidth="1"/>
    <col min="11021" max="11021" width="7.6640625" style="935" customWidth="1"/>
    <col min="11022" max="11022" width="9.109375" style="935" customWidth="1"/>
    <col min="11023" max="11024" width="10.5546875" style="935" bestFit="1" customWidth="1"/>
    <col min="11025" max="11025" width="5.33203125" style="935" bestFit="1" customWidth="1"/>
    <col min="11026" max="11027" width="11.33203125" style="935" bestFit="1" customWidth="1"/>
    <col min="11028" max="11028" width="12.88671875" style="935" bestFit="1" customWidth="1"/>
    <col min="11029" max="11029" width="10.5546875" style="935" bestFit="1" customWidth="1"/>
    <col min="11030" max="11033" width="8.88671875" style="935"/>
    <col min="11034" max="11034" width="15.109375" style="935" bestFit="1" customWidth="1"/>
    <col min="11035" max="11036" width="11.5546875" style="935" bestFit="1" customWidth="1"/>
    <col min="11037" max="11270" width="8.88671875" style="935"/>
    <col min="11271" max="11271" width="7" style="935" bestFit="1" customWidth="1"/>
    <col min="11272" max="11272" width="20.5546875" style="935" bestFit="1" customWidth="1"/>
    <col min="11273" max="11273" width="3.44140625" style="935" customWidth="1"/>
    <col min="11274" max="11274" width="3.6640625" style="935" customWidth="1"/>
    <col min="11275" max="11275" width="5.44140625" style="935" bestFit="1" customWidth="1"/>
    <col min="11276" max="11276" width="9.33203125" style="935" bestFit="1" customWidth="1"/>
    <col min="11277" max="11277" width="7.6640625" style="935" customWidth="1"/>
    <col min="11278" max="11278" width="9.109375" style="935" customWidth="1"/>
    <col min="11279" max="11280" width="10.5546875" style="935" bestFit="1" customWidth="1"/>
    <col min="11281" max="11281" width="5.33203125" style="935" bestFit="1" customWidth="1"/>
    <col min="11282" max="11283" width="11.33203125" style="935" bestFit="1" customWidth="1"/>
    <col min="11284" max="11284" width="12.88671875" style="935" bestFit="1" customWidth="1"/>
    <col min="11285" max="11285" width="10.5546875" style="935" bestFit="1" customWidth="1"/>
    <col min="11286" max="11289" width="8.88671875" style="935"/>
    <col min="11290" max="11290" width="15.109375" style="935" bestFit="1" customWidth="1"/>
    <col min="11291" max="11292" width="11.5546875" style="935" bestFit="1" customWidth="1"/>
    <col min="11293" max="11526" width="8.88671875" style="935"/>
    <col min="11527" max="11527" width="7" style="935" bestFit="1" customWidth="1"/>
    <col min="11528" max="11528" width="20.5546875" style="935" bestFit="1" customWidth="1"/>
    <col min="11529" max="11529" width="3.44140625" style="935" customWidth="1"/>
    <col min="11530" max="11530" width="3.6640625" style="935" customWidth="1"/>
    <col min="11531" max="11531" width="5.44140625" style="935" bestFit="1" customWidth="1"/>
    <col min="11532" max="11532" width="9.33203125" style="935" bestFit="1" customWidth="1"/>
    <col min="11533" max="11533" width="7.6640625" style="935" customWidth="1"/>
    <col min="11534" max="11534" width="9.109375" style="935" customWidth="1"/>
    <col min="11535" max="11536" width="10.5546875" style="935" bestFit="1" customWidth="1"/>
    <col min="11537" max="11537" width="5.33203125" style="935" bestFit="1" customWidth="1"/>
    <col min="11538" max="11539" width="11.33203125" style="935" bestFit="1" customWidth="1"/>
    <col min="11540" max="11540" width="12.88671875" style="935" bestFit="1" customWidth="1"/>
    <col min="11541" max="11541" width="10.5546875" style="935" bestFit="1" customWidth="1"/>
    <col min="11542" max="11545" width="8.88671875" style="935"/>
    <col min="11546" max="11546" width="15.109375" style="935" bestFit="1" customWidth="1"/>
    <col min="11547" max="11548" width="11.5546875" style="935" bestFit="1" customWidth="1"/>
    <col min="11549" max="11782" width="8.88671875" style="935"/>
    <col min="11783" max="11783" width="7" style="935" bestFit="1" customWidth="1"/>
    <col min="11784" max="11784" width="20.5546875" style="935" bestFit="1" customWidth="1"/>
    <col min="11785" max="11785" width="3.44140625" style="935" customWidth="1"/>
    <col min="11786" max="11786" width="3.6640625" style="935" customWidth="1"/>
    <col min="11787" max="11787" width="5.44140625" style="935" bestFit="1" customWidth="1"/>
    <col min="11788" max="11788" width="9.33203125" style="935" bestFit="1" customWidth="1"/>
    <col min="11789" max="11789" width="7.6640625" style="935" customWidth="1"/>
    <col min="11790" max="11790" width="9.109375" style="935" customWidth="1"/>
    <col min="11791" max="11792" width="10.5546875" style="935" bestFit="1" customWidth="1"/>
    <col min="11793" max="11793" width="5.33203125" style="935" bestFit="1" customWidth="1"/>
    <col min="11794" max="11795" width="11.33203125" style="935" bestFit="1" customWidth="1"/>
    <col min="11796" max="11796" width="12.88671875" style="935" bestFit="1" customWidth="1"/>
    <col min="11797" max="11797" width="10.5546875" style="935" bestFit="1" customWidth="1"/>
    <col min="11798" max="11801" width="8.88671875" style="935"/>
    <col min="11802" max="11802" width="15.109375" style="935" bestFit="1" customWidth="1"/>
    <col min="11803" max="11804" width="11.5546875" style="935" bestFit="1" customWidth="1"/>
    <col min="11805" max="12038" width="8.88671875" style="935"/>
    <col min="12039" max="12039" width="7" style="935" bestFit="1" customWidth="1"/>
    <col min="12040" max="12040" width="20.5546875" style="935" bestFit="1" customWidth="1"/>
    <col min="12041" max="12041" width="3.44140625" style="935" customWidth="1"/>
    <col min="12042" max="12042" width="3.6640625" style="935" customWidth="1"/>
    <col min="12043" max="12043" width="5.44140625" style="935" bestFit="1" customWidth="1"/>
    <col min="12044" max="12044" width="9.33203125" style="935" bestFit="1" customWidth="1"/>
    <col min="12045" max="12045" width="7.6640625" style="935" customWidth="1"/>
    <col min="12046" max="12046" width="9.109375" style="935" customWidth="1"/>
    <col min="12047" max="12048" width="10.5546875" style="935" bestFit="1" customWidth="1"/>
    <col min="12049" max="12049" width="5.33203125" style="935" bestFit="1" customWidth="1"/>
    <col min="12050" max="12051" width="11.33203125" style="935" bestFit="1" customWidth="1"/>
    <col min="12052" max="12052" width="12.88671875" style="935" bestFit="1" customWidth="1"/>
    <col min="12053" max="12053" width="10.5546875" style="935" bestFit="1" customWidth="1"/>
    <col min="12054" max="12057" width="8.88671875" style="935"/>
    <col min="12058" max="12058" width="15.109375" style="935" bestFit="1" customWidth="1"/>
    <col min="12059" max="12060" width="11.5546875" style="935" bestFit="1" customWidth="1"/>
    <col min="12061" max="12294" width="8.88671875" style="935"/>
    <col min="12295" max="12295" width="7" style="935" bestFit="1" customWidth="1"/>
    <col min="12296" max="12296" width="20.5546875" style="935" bestFit="1" customWidth="1"/>
    <col min="12297" max="12297" width="3.44140625" style="935" customWidth="1"/>
    <col min="12298" max="12298" width="3.6640625" style="935" customWidth="1"/>
    <col min="12299" max="12299" width="5.44140625" style="935" bestFit="1" customWidth="1"/>
    <col min="12300" max="12300" width="9.33203125" style="935" bestFit="1" customWidth="1"/>
    <col min="12301" max="12301" width="7.6640625" style="935" customWidth="1"/>
    <col min="12302" max="12302" width="9.109375" style="935" customWidth="1"/>
    <col min="12303" max="12304" width="10.5546875" style="935" bestFit="1" customWidth="1"/>
    <col min="12305" max="12305" width="5.33203125" style="935" bestFit="1" customWidth="1"/>
    <col min="12306" max="12307" width="11.33203125" style="935" bestFit="1" customWidth="1"/>
    <col min="12308" max="12308" width="12.88671875" style="935" bestFit="1" customWidth="1"/>
    <col min="12309" max="12309" width="10.5546875" style="935" bestFit="1" customWidth="1"/>
    <col min="12310" max="12313" width="8.88671875" style="935"/>
    <col min="12314" max="12314" width="15.109375" style="935" bestFit="1" customWidth="1"/>
    <col min="12315" max="12316" width="11.5546875" style="935" bestFit="1" customWidth="1"/>
    <col min="12317" max="12550" width="8.88671875" style="935"/>
    <col min="12551" max="12551" width="7" style="935" bestFit="1" customWidth="1"/>
    <col min="12552" max="12552" width="20.5546875" style="935" bestFit="1" customWidth="1"/>
    <col min="12553" max="12553" width="3.44140625" style="935" customWidth="1"/>
    <col min="12554" max="12554" width="3.6640625" style="935" customWidth="1"/>
    <col min="12555" max="12555" width="5.44140625" style="935" bestFit="1" customWidth="1"/>
    <col min="12556" max="12556" width="9.33203125" style="935" bestFit="1" customWidth="1"/>
    <col min="12557" max="12557" width="7.6640625" style="935" customWidth="1"/>
    <col min="12558" max="12558" width="9.109375" style="935" customWidth="1"/>
    <col min="12559" max="12560" width="10.5546875" style="935" bestFit="1" customWidth="1"/>
    <col min="12561" max="12561" width="5.33203125" style="935" bestFit="1" customWidth="1"/>
    <col min="12562" max="12563" width="11.33203125" style="935" bestFit="1" customWidth="1"/>
    <col min="12564" max="12564" width="12.88671875" style="935" bestFit="1" customWidth="1"/>
    <col min="12565" max="12565" width="10.5546875" style="935" bestFit="1" customWidth="1"/>
    <col min="12566" max="12569" width="8.88671875" style="935"/>
    <col min="12570" max="12570" width="15.109375" style="935" bestFit="1" customWidth="1"/>
    <col min="12571" max="12572" width="11.5546875" style="935" bestFit="1" customWidth="1"/>
    <col min="12573" max="12806" width="8.88671875" style="935"/>
    <col min="12807" max="12807" width="7" style="935" bestFit="1" customWidth="1"/>
    <col min="12808" max="12808" width="20.5546875" style="935" bestFit="1" customWidth="1"/>
    <col min="12809" max="12809" width="3.44140625" style="935" customWidth="1"/>
    <col min="12810" max="12810" width="3.6640625" style="935" customWidth="1"/>
    <col min="12811" max="12811" width="5.44140625" style="935" bestFit="1" customWidth="1"/>
    <col min="12812" max="12812" width="9.33203125" style="935" bestFit="1" customWidth="1"/>
    <col min="12813" max="12813" width="7.6640625" style="935" customWidth="1"/>
    <col min="12814" max="12814" width="9.109375" style="935" customWidth="1"/>
    <col min="12815" max="12816" width="10.5546875" style="935" bestFit="1" customWidth="1"/>
    <col min="12817" max="12817" width="5.33203125" style="935" bestFit="1" customWidth="1"/>
    <col min="12818" max="12819" width="11.33203125" style="935" bestFit="1" customWidth="1"/>
    <col min="12820" max="12820" width="12.88671875" style="935" bestFit="1" customWidth="1"/>
    <col min="12821" max="12821" width="10.5546875" style="935" bestFit="1" customWidth="1"/>
    <col min="12822" max="12825" width="8.88671875" style="935"/>
    <col min="12826" max="12826" width="15.109375" style="935" bestFit="1" customWidth="1"/>
    <col min="12827" max="12828" width="11.5546875" style="935" bestFit="1" customWidth="1"/>
    <col min="12829" max="13062" width="8.88671875" style="935"/>
    <col min="13063" max="13063" width="7" style="935" bestFit="1" customWidth="1"/>
    <col min="13064" max="13064" width="20.5546875" style="935" bestFit="1" customWidth="1"/>
    <col min="13065" max="13065" width="3.44140625" style="935" customWidth="1"/>
    <col min="13066" max="13066" width="3.6640625" style="935" customWidth="1"/>
    <col min="13067" max="13067" width="5.44140625" style="935" bestFit="1" customWidth="1"/>
    <col min="13068" max="13068" width="9.33203125" style="935" bestFit="1" customWidth="1"/>
    <col min="13069" max="13069" width="7.6640625" style="935" customWidth="1"/>
    <col min="13070" max="13070" width="9.109375" style="935" customWidth="1"/>
    <col min="13071" max="13072" width="10.5546875" style="935" bestFit="1" customWidth="1"/>
    <col min="13073" max="13073" width="5.33203125" style="935" bestFit="1" customWidth="1"/>
    <col min="13074" max="13075" width="11.33203125" style="935" bestFit="1" customWidth="1"/>
    <col min="13076" max="13076" width="12.88671875" style="935" bestFit="1" customWidth="1"/>
    <col min="13077" max="13077" width="10.5546875" style="935" bestFit="1" customWidth="1"/>
    <col min="13078" max="13081" width="8.88671875" style="935"/>
    <col min="13082" max="13082" width="15.109375" style="935" bestFit="1" customWidth="1"/>
    <col min="13083" max="13084" width="11.5546875" style="935" bestFit="1" customWidth="1"/>
    <col min="13085" max="13318" width="8.88671875" style="935"/>
    <col min="13319" max="13319" width="7" style="935" bestFit="1" customWidth="1"/>
    <col min="13320" max="13320" width="20.5546875" style="935" bestFit="1" customWidth="1"/>
    <col min="13321" max="13321" width="3.44140625" style="935" customWidth="1"/>
    <col min="13322" max="13322" width="3.6640625" style="935" customWidth="1"/>
    <col min="13323" max="13323" width="5.44140625" style="935" bestFit="1" customWidth="1"/>
    <col min="13324" max="13324" width="9.33203125" style="935" bestFit="1" customWidth="1"/>
    <col min="13325" max="13325" width="7.6640625" style="935" customWidth="1"/>
    <col min="13326" max="13326" width="9.109375" style="935" customWidth="1"/>
    <col min="13327" max="13328" width="10.5546875" style="935" bestFit="1" customWidth="1"/>
    <col min="13329" max="13329" width="5.33203125" style="935" bestFit="1" customWidth="1"/>
    <col min="13330" max="13331" width="11.33203125" style="935" bestFit="1" customWidth="1"/>
    <col min="13332" max="13332" width="12.88671875" style="935" bestFit="1" customWidth="1"/>
    <col min="13333" max="13333" width="10.5546875" style="935" bestFit="1" customWidth="1"/>
    <col min="13334" max="13337" width="8.88671875" style="935"/>
    <col min="13338" max="13338" width="15.109375" style="935" bestFit="1" customWidth="1"/>
    <col min="13339" max="13340" width="11.5546875" style="935" bestFit="1" customWidth="1"/>
    <col min="13341" max="13574" width="8.88671875" style="935"/>
    <col min="13575" max="13575" width="7" style="935" bestFit="1" customWidth="1"/>
    <col min="13576" max="13576" width="20.5546875" style="935" bestFit="1" customWidth="1"/>
    <col min="13577" max="13577" width="3.44140625" style="935" customWidth="1"/>
    <col min="13578" max="13578" width="3.6640625" style="935" customWidth="1"/>
    <col min="13579" max="13579" width="5.44140625" style="935" bestFit="1" customWidth="1"/>
    <col min="13580" max="13580" width="9.33203125" style="935" bestFit="1" customWidth="1"/>
    <col min="13581" max="13581" width="7.6640625" style="935" customWidth="1"/>
    <col min="13582" max="13582" width="9.109375" style="935" customWidth="1"/>
    <col min="13583" max="13584" width="10.5546875" style="935" bestFit="1" customWidth="1"/>
    <col min="13585" max="13585" width="5.33203125" style="935" bestFit="1" customWidth="1"/>
    <col min="13586" max="13587" width="11.33203125" style="935" bestFit="1" customWidth="1"/>
    <col min="13588" max="13588" width="12.88671875" style="935" bestFit="1" customWidth="1"/>
    <col min="13589" max="13589" width="10.5546875" style="935" bestFit="1" customWidth="1"/>
    <col min="13590" max="13593" width="8.88671875" style="935"/>
    <col min="13594" max="13594" width="15.109375" style="935" bestFit="1" customWidth="1"/>
    <col min="13595" max="13596" width="11.5546875" style="935" bestFit="1" customWidth="1"/>
    <col min="13597" max="13830" width="8.88671875" style="935"/>
    <col min="13831" max="13831" width="7" style="935" bestFit="1" customWidth="1"/>
    <col min="13832" max="13832" width="20.5546875" style="935" bestFit="1" customWidth="1"/>
    <col min="13833" max="13833" width="3.44140625" style="935" customWidth="1"/>
    <col min="13834" max="13834" width="3.6640625" style="935" customWidth="1"/>
    <col min="13835" max="13835" width="5.44140625" style="935" bestFit="1" customWidth="1"/>
    <col min="13836" max="13836" width="9.33203125" style="935" bestFit="1" customWidth="1"/>
    <col min="13837" max="13837" width="7.6640625" style="935" customWidth="1"/>
    <col min="13838" max="13838" width="9.109375" style="935" customWidth="1"/>
    <col min="13839" max="13840" width="10.5546875" style="935" bestFit="1" customWidth="1"/>
    <col min="13841" max="13841" width="5.33203125" style="935" bestFit="1" customWidth="1"/>
    <col min="13842" max="13843" width="11.33203125" style="935" bestFit="1" customWidth="1"/>
    <col min="13844" max="13844" width="12.88671875" style="935" bestFit="1" customWidth="1"/>
    <col min="13845" max="13845" width="10.5546875" style="935" bestFit="1" customWidth="1"/>
    <col min="13846" max="13849" width="8.88671875" style="935"/>
    <col min="13850" max="13850" width="15.109375" style="935" bestFit="1" customWidth="1"/>
    <col min="13851" max="13852" width="11.5546875" style="935" bestFit="1" customWidth="1"/>
    <col min="13853" max="14086" width="8.88671875" style="935"/>
    <col min="14087" max="14087" width="7" style="935" bestFit="1" customWidth="1"/>
    <col min="14088" max="14088" width="20.5546875" style="935" bestFit="1" customWidth="1"/>
    <col min="14089" max="14089" width="3.44140625" style="935" customWidth="1"/>
    <col min="14090" max="14090" width="3.6640625" style="935" customWidth="1"/>
    <col min="14091" max="14091" width="5.44140625" style="935" bestFit="1" customWidth="1"/>
    <col min="14092" max="14092" width="9.33203125" style="935" bestFit="1" customWidth="1"/>
    <col min="14093" max="14093" width="7.6640625" style="935" customWidth="1"/>
    <col min="14094" max="14094" width="9.109375" style="935" customWidth="1"/>
    <col min="14095" max="14096" width="10.5546875" style="935" bestFit="1" customWidth="1"/>
    <col min="14097" max="14097" width="5.33203125" style="935" bestFit="1" customWidth="1"/>
    <col min="14098" max="14099" width="11.33203125" style="935" bestFit="1" customWidth="1"/>
    <col min="14100" max="14100" width="12.88671875" style="935" bestFit="1" customWidth="1"/>
    <col min="14101" max="14101" width="10.5546875" style="935" bestFit="1" customWidth="1"/>
    <col min="14102" max="14105" width="8.88671875" style="935"/>
    <col min="14106" max="14106" width="15.109375" style="935" bestFit="1" customWidth="1"/>
    <col min="14107" max="14108" width="11.5546875" style="935" bestFit="1" customWidth="1"/>
    <col min="14109" max="14342" width="8.88671875" style="935"/>
    <col min="14343" max="14343" width="7" style="935" bestFit="1" customWidth="1"/>
    <col min="14344" max="14344" width="20.5546875" style="935" bestFit="1" customWidth="1"/>
    <col min="14345" max="14345" width="3.44140625" style="935" customWidth="1"/>
    <col min="14346" max="14346" width="3.6640625" style="935" customWidth="1"/>
    <col min="14347" max="14347" width="5.44140625" style="935" bestFit="1" customWidth="1"/>
    <col min="14348" max="14348" width="9.33203125" style="935" bestFit="1" customWidth="1"/>
    <col min="14349" max="14349" width="7.6640625" style="935" customWidth="1"/>
    <col min="14350" max="14350" width="9.109375" style="935" customWidth="1"/>
    <col min="14351" max="14352" width="10.5546875" style="935" bestFit="1" customWidth="1"/>
    <col min="14353" max="14353" width="5.33203125" style="935" bestFit="1" customWidth="1"/>
    <col min="14354" max="14355" width="11.33203125" style="935" bestFit="1" customWidth="1"/>
    <col min="14356" max="14356" width="12.88671875" style="935" bestFit="1" customWidth="1"/>
    <col min="14357" max="14357" width="10.5546875" style="935" bestFit="1" customWidth="1"/>
    <col min="14358" max="14361" width="8.88671875" style="935"/>
    <col min="14362" max="14362" width="15.109375" style="935" bestFit="1" customWidth="1"/>
    <col min="14363" max="14364" width="11.5546875" style="935" bestFit="1" customWidth="1"/>
    <col min="14365" max="14598" width="8.88671875" style="935"/>
    <col min="14599" max="14599" width="7" style="935" bestFit="1" customWidth="1"/>
    <col min="14600" max="14600" width="20.5546875" style="935" bestFit="1" customWidth="1"/>
    <col min="14601" max="14601" width="3.44140625" style="935" customWidth="1"/>
    <col min="14602" max="14602" width="3.6640625" style="935" customWidth="1"/>
    <col min="14603" max="14603" width="5.44140625" style="935" bestFit="1" customWidth="1"/>
    <col min="14604" max="14604" width="9.33203125" style="935" bestFit="1" customWidth="1"/>
    <col min="14605" max="14605" width="7.6640625" style="935" customWidth="1"/>
    <col min="14606" max="14606" width="9.109375" style="935" customWidth="1"/>
    <col min="14607" max="14608" width="10.5546875" style="935" bestFit="1" customWidth="1"/>
    <col min="14609" max="14609" width="5.33203125" style="935" bestFit="1" customWidth="1"/>
    <col min="14610" max="14611" width="11.33203125" style="935" bestFit="1" customWidth="1"/>
    <col min="14612" max="14612" width="12.88671875" style="935" bestFit="1" customWidth="1"/>
    <col min="14613" max="14613" width="10.5546875" style="935" bestFit="1" customWidth="1"/>
    <col min="14614" max="14617" width="8.88671875" style="935"/>
    <col min="14618" max="14618" width="15.109375" style="935" bestFit="1" customWidth="1"/>
    <col min="14619" max="14620" width="11.5546875" style="935" bestFit="1" customWidth="1"/>
    <col min="14621" max="14854" width="8.88671875" style="935"/>
    <col min="14855" max="14855" width="7" style="935" bestFit="1" customWidth="1"/>
    <col min="14856" max="14856" width="20.5546875" style="935" bestFit="1" customWidth="1"/>
    <col min="14857" max="14857" width="3.44140625" style="935" customWidth="1"/>
    <col min="14858" max="14858" width="3.6640625" style="935" customWidth="1"/>
    <col min="14859" max="14859" width="5.44140625" style="935" bestFit="1" customWidth="1"/>
    <col min="14860" max="14860" width="9.33203125" style="935" bestFit="1" customWidth="1"/>
    <col min="14861" max="14861" width="7.6640625" style="935" customWidth="1"/>
    <col min="14862" max="14862" width="9.109375" style="935" customWidth="1"/>
    <col min="14863" max="14864" width="10.5546875" style="935" bestFit="1" customWidth="1"/>
    <col min="14865" max="14865" width="5.33203125" style="935" bestFit="1" customWidth="1"/>
    <col min="14866" max="14867" width="11.33203125" style="935" bestFit="1" customWidth="1"/>
    <col min="14868" max="14868" width="12.88671875" style="935" bestFit="1" customWidth="1"/>
    <col min="14869" max="14869" width="10.5546875" style="935" bestFit="1" customWidth="1"/>
    <col min="14870" max="14873" width="8.88671875" style="935"/>
    <col min="14874" max="14874" width="15.109375" style="935" bestFit="1" customWidth="1"/>
    <col min="14875" max="14876" width="11.5546875" style="935" bestFit="1" customWidth="1"/>
    <col min="14877" max="15110" width="8.88671875" style="935"/>
    <col min="15111" max="15111" width="7" style="935" bestFit="1" customWidth="1"/>
    <col min="15112" max="15112" width="20.5546875" style="935" bestFit="1" customWidth="1"/>
    <col min="15113" max="15113" width="3.44140625" style="935" customWidth="1"/>
    <col min="15114" max="15114" width="3.6640625" style="935" customWidth="1"/>
    <col min="15115" max="15115" width="5.44140625" style="935" bestFit="1" customWidth="1"/>
    <col min="15116" max="15116" width="9.33203125" style="935" bestFit="1" customWidth="1"/>
    <col min="15117" max="15117" width="7.6640625" style="935" customWidth="1"/>
    <col min="15118" max="15118" width="9.109375" style="935" customWidth="1"/>
    <col min="15119" max="15120" width="10.5546875" style="935" bestFit="1" customWidth="1"/>
    <col min="15121" max="15121" width="5.33203125" style="935" bestFit="1" customWidth="1"/>
    <col min="15122" max="15123" width="11.33203125" style="935" bestFit="1" customWidth="1"/>
    <col min="15124" max="15124" width="12.88671875" style="935" bestFit="1" customWidth="1"/>
    <col min="15125" max="15125" width="10.5546875" style="935" bestFit="1" customWidth="1"/>
    <col min="15126" max="15129" width="8.88671875" style="935"/>
    <col min="15130" max="15130" width="15.109375" style="935" bestFit="1" customWidth="1"/>
    <col min="15131" max="15132" width="11.5546875" style="935" bestFit="1" customWidth="1"/>
    <col min="15133" max="15366" width="8.88671875" style="935"/>
    <col min="15367" max="15367" width="7" style="935" bestFit="1" customWidth="1"/>
    <col min="15368" max="15368" width="20.5546875" style="935" bestFit="1" customWidth="1"/>
    <col min="15369" max="15369" width="3.44140625" style="935" customWidth="1"/>
    <col min="15370" max="15370" width="3.6640625" style="935" customWidth="1"/>
    <col min="15371" max="15371" width="5.44140625" style="935" bestFit="1" customWidth="1"/>
    <col min="15372" max="15372" width="9.33203125" style="935" bestFit="1" customWidth="1"/>
    <col min="15373" max="15373" width="7.6640625" style="935" customWidth="1"/>
    <col min="15374" max="15374" width="9.109375" style="935" customWidth="1"/>
    <col min="15375" max="15376" width="10.5546875" style="935" bestFit="1" customWidth="1"/>
    <col min="15377" max="15377" width="5.33203125" style="935" bestFit="1" customWidth="1"/>
    <col min="15378" max="15379" width="11.33203125" style="935" bestFit="1" customWidth="1"/>
    <col min="15380" max="15380" width="12.88671875" style="935" bestFit="1" customWidth="1"/>
    <col min="15381" max="15381" width="10.5546875" style="935" bestFit="1" customWidth="1"/>
    <col min="15382" max="15385" width="8.88671875" style="935"/>
    <col min="15386" max="15386" width="15.109375" style="935" bestFit="1" customWidth="1"/>
    <col min="15387" max="15388" width="11.5546875" style="935" bestFit="1" customWidth="1"/>
    <col min="15389" max="15622" width="8.88671875" style="935"/>
    <col min="15623" max="15623" width="7" style="935" bestFit="1" customWidth="1"/>
    <col min="15624" max="15624" width="20.5546875" style="935" bestFit="1" customWidth="1"/>
    <col min="15625" max="15625" width="3.44140625" style="935" customWidth="1"/>
    <col min="15626" max="15626" width="3.6640625" style="935" customWidth="1"/>
    <col min="15627" max="15627" width="5.44140625" style="935" bestFit="1" customWidth="1"/>
    <col min="15628" max="15628" width="9.33203125" style="935" bestFit="1" customWidth="1"/>
    <col min="15629" max="15629" width="7.6640625" style="935" customWidth="1"/>
    <col min="15630" max="15630" width="9.109375" style="935" customWidth="1"/>
    <col min="15631" max="15632" width="10.5546875" style="935" bestFit="1" customWidth="1"/>
    <col min="15633" max="15633" width="5.33203125" style="935" bestFit="1" customWidth="1"/>
    <col min="15634" max="15635" width="11.33203125" style="935" bestFit="1" customWidth="1"/>
    <col min="15636" max="15636" width="12.88671875" style="935" bestFit="1" customWidth="1"/>
    <col min="15637" max="15637" width="10.5546875" style="935" bestFit="1" customWidth="1"/>
    <col min="15638" max="15641" width="8.88671875" style="935"/>
    <col min="15642" max="15642" width="15.109375" style="935" bestFit="1" customWidth="1"/>
    <col min="15643" max="15644" width="11.5546875" style="935" bestFit="1" customWidth="1"/>
    <col min="15645" max="15878" width="8.88671875" style="935"/>
    <col min="15879" max="15879" width="7" style="935" bestFit="1" customWidth="1"/>
    <col min="15880" max="15880" width="20.5546875" style="935" bestFit="1" customWidth="1"/>
    <col min="15881" max="15881" width="3.44140625" style="935" customWidth="1"/>
    <col min="15882" max="15882" width="3.6640625" style="935" customWidth="1"/>
    <col min="15883" max="15883" width="5.44140625" style="935" bestFit="1" customWidth="1"/>
    <col min="15884" max="15884" width="9.33203125" style="935" bestFit="1" customWidth="1"/>
    <col min="15885" max="15885" width="7.6640625" style="935" customWidth="1"/>
    <col min="15886" max="15886" width="9.109375" style="935" customWidth="1"/>
    <col min="15887" max="15888" width="10.5546875" style="935" bestFit="1" customWidth="1"/>
    <col min="15889" max="15889" width="5.33203125" style="935" bestFit="1" customWidth="1"/>
    <col min="15890" max="15891" width="11.33203125" style="935" bestFit="1" customWidth="1"/>
    <col min="15892" max="15892" width="12.88671875" style="935" bestFit="1" customWidth="1"/>
    <col min="15893" max="15893" width="10.5546875" style="935" bestFit="1" customWidth="1"/>
    <col min="15894" max="15897" width="8.88671875" style="935"/>
    <col min="15898" max="15898" width="15.109375" style="935" bestFit="1" customWidth="1"/>
    <col min="15899" max="15900" width="11.5546875" style="935" bestFit="1" customWidth="1"/>
    <col min="15901" max="16134" width="8.88671875" style="935"/>
    <col min="16135" max="16135" width="7" style="935" bestFit="1" customWidth="1"/>
    <col min="16136" max="16136" width="20.5546875" style="935" bestFit="1" customWidth="1"/>
    <col min="16137" max="16137" width="3.44140625" style="935" customWidth="1"/>
    <col min="16138" max="16138" width="3.6640625" style="935" customWidth="1"/>
    <col min="16139" max="16139" width="5.44140625" style="935" bestFit="1" customWidth="1"/>
    <col min="16140" max="16140" width="9.33203125" style="935" bestFit="1" customWidth="1"/>
    <col min="16141" max="16141" width="7.6640625" style="935" customWidth="1"/>
    <col min="16142" max="16142" width="9.109375" style="935" customWidth="1"/>
    <col min="16143" max="16144" width="10.5546875" style="935" bestFit="1" customWidth="1"/>
    <col min="16145" max="16145" width="5.33203125" style="935" bestFit="1" customWidth="1"/>
    <col min="16146" max="16147" width="11.33203125" style="935" bestFit="1" customWidth="1"/>
    <col min="16148" max="16148" width="12.88671875" style="935" bestFit="1" customWidth="1"/>
    <col min="16149" max="16149" width="10.5546875" style="935" bestFit="1" customWidth="1"/>
    <col min="16150" max="16153" width="8.88671875" style="935"/>
    <col min="16154" max="16154" width="15.109375" style="935" bestFit="1" customWidth="1"/>
    <col min="16155" max="16156" width="11.5546875" style="935" bestFit="1" customWidth="1"/>
    <col min="16157" max="16384" width="8.88671875" style="935"/>
  </cols>
  <sheetData>
    <row r="1" spans="1:22" ht="14.4" thickBot="1" x14ac:dyDescent="0.3">
      <c r="A1" s="932" t="s">
        <v>683</v>
      </c>
      <c r="B1" s="933" t="s">
        <v>684</v>
      </c>
      <c r="C1" s="2755" t="s">
        <v>685</v>
      </c>
      <c r="D1" s="2755"/>
      <c r="E1" s="2755"/>
      <c r="F1" s="1632" t="s">
        <v>686</v>
      </c>
      <c r="G1" s="1632" t="s">
        <v>687</v>
      </c>
      <c r="H1" s="1632" t="s">
        <v>688</v>
      </c>
      <c r="I1" s="1632" t="s">
        <v>689</v>
      </c>
      <c r="J1" s="1632" t="s">
        <v>690</v>
      </c>
      <c r="K1" s="1633"/>
      <c r="L1" s="1633"/>
      <c r="M1" s="1634"/>
      <c r="N1" s="1635"/>
      <c r="O1" s="1636" t="s">
        <v>691</v>
      </c>
      <c r="P1" s="934"/>
      <c r="Q1" s="934"/>
    </row>
    <row r="2" spans="1:22" ht="14.4" thickBot="1" x14ac:dyDescent="0.3">
      <c r="A2" s="936"/>
      <c r="B2" s="938"/>
      <c r="C2" s="938"/>
      <c r="D2" s="938"/>
      <c r="E2" s="1624"/>
      <c r="F2" s="1624"/>
      <c r="G2" s="1637"/>
      <c r="H2" s="1637"/>
      <c r="I2" s="1637"/>
      <c r="J2" s="1637"/>
      <c r="K2" s="1633">
        <v>1.05</v>
      </c>
      <c r="L2" s="1633"/>
      <c r="M2" s="1634"/>
      <c r="N2" s="1638"/>
      <c r="O2" s="1637"/>
      <c r="P2" s="934"/>
      <c r="Q2" s="934"/>
    </row>
    <row r="3" spans="1:22" s="1628" customFormat="1" ht="28.8" thickTop="1" thickBot="1" x14ac:dyDescent="0.3">
      <c r="A3" s="1625" t="str">
        <f>exca!A5</f>
        <v>B 01</v>
      </c>
      <c r="B3" s="1626" t="str">
        <f>exca!B5</f>
        <v>Clearing site vegetation manually including removal of bushes, shurb removing rubbish.</v>
      </c>
      <c r="C3" s="1629"/>
      <c r="D3" s="1629"/>
      <c r="E3" s="1639"/>
      <c r="F3" s="1639"/>
      <c r="G3" s="1639"/>
      <c r="H3" s="1639"/>
      <c r="I3" s="1639"/>
      <c r="J3" s="1639">
        <f>I3</f>
        <v>0</v>
      </c>
      <c r="K3" s="1640">
        <f>$K$2</f>
        <v>1.05</v>
      </c>
      <c r="L3" s="1640">
        <f t="shared" ref="L3" si="0">K3*J3</f>
        <v>0</v>
      </c>
      <c r="M3" s="1641">
        <f t="shared" ref="M3" si="1">ROUND(L3,1)</f>
        <v>0</v>
      </c>
      <c r="N3" s="1642">
        <f t="shared" ref="N3" si="2">ROUNDUP(M3,0)</f>
        <v>0</v>
      </c>
      <c r="O3" s="1639" t="s">
        <v>692</v>
      </c>
      <c r="P3" s="1627">
        <v>1.1000000000000001</v>
      </c>
      <c r="Q3" s="1627"/>
    </row>
    <row r="4" spans="1:22" ht="15" thickTop="1" thickBot="1" x14ac:dyDescent="0.3">
      <c r="A4" s="937"/>
      <c r="B4" s="938"/>
      <c r="C4" s="938"/>
      <c r="D4" s="938"/>
      <c r="E4" s="1624"/>
      <c r="F4" s="1624"/>
      <c r="G4" s="1624"/>
      <c r="H4" s="1624"/>
      <c r="I4" s="1624"/>
      <c r="J4" s="1624"/>
      <c r="K4" s="1643"/>
      <c r="L4" s="1643"/>
      <c r="M4" s="1634"/>
      <c r="N4" s="1644"/>
      <c r="O4" s="1624"/>
      <c r="P4" s="934"/>
      <c r="Q4" s="934"/>
    </row>
    <row r="5" spans="1:22" s="1628" customFormat="1" ht="42.6" thickTop="1" thickBot="1" x14ac:dyDescent="0.3">
      <c r="A5" s="1625" t="str">
        <f>exca!A7</f>
        <v>B 02</v>
      </c>
      <c r="B5" s="1630" t="str">
        <f>exca!B7</f>
        <v>Removing top soil including mud,  machinery to a  nessasary depth  and removing all debris away from site, location decided by client withing 3 km</v>
      </c>
      <c r="C5" s="1629"/>
      <c r="D5" s="1629"/>
      <c r="E5" s="1639"/>
      <c r="F5" s="1639"/>
      <c r="G5" s="1639"/>
      <c r="H5" s="1639"/>
      <c r="I5" s="1639"/>
      <c r="J5" s="1639">
        <f>I5</f>
        <v>0</v>
      </c>
      <c r="K5" s="1640">
        <f>$K$2</f>
        <v>1.05</v>
      </c>
      <c r="L5" s="1640">
        <f>K5*J5</f>
        <v>0</v>
      </c>
      <c r="M5" s="1641">
        <f>ROUND(L5,1)</f>
        <v>0</v>
      </c>
      <c r="N5" s="1642">
        <f>ROUNDUP(M5,0)</f>
        <v>0</v>
      </c>
      <c r="O5" s="1639" t="s">
        <v>692</v>
      </c>
      <c r="P5" s="1627"/>
      <c r="Q5" s="1627"/>
      <c r="R5" s="1631"/>
      <c r="S5" s="1631"/>
      <c r="T5" s="1631"/>
      <c r="U5" s="1631"/>
      <c r="V5" s="1631"/>
    </row>
    <row r="6" spans="1:22" ht="15" thickTop="1" thickBot="1" x14ac:dyDescent="0.3">
      <c r="A6" s="937"/>
      <c r="B6" s="938"/>
      <c r="C6" s="938"/>
      <c r="D6" s="938"/>
      <c r="E6" s="1624"/>
      <c r="F6" s="1624"/>
      <c r="G6" s="1624"/>
      <c r="H6" s="1624"/>
      <c r="I6" s="1624"/>
      <c r="J6" s="1624"/>
      <c r="K6" s="1643"/>
      <c r="L6" s="1643"/>
      <c r="M6" s="1634"/>
      <c r="N6" s="1644"/>
      <c r="O6" s="1624"/>
      <c r="P6" s="934"/>
      <c r="Q6" s="934"/>
      <c r="R6" s="939"/>
      <c r="S6" s="939"/>
      <c r="T6" s="939"/>
      <c r="U6" s="939"/>
      <c r="V6" s="939"/>
    </row>
    <row r="7" spans="1:22" s="1628" customFormat="1" ht="70.2" thickTop="1" thickBot="1" x14ac:dyDescent="0.3">
      <c r="A7" s="1625" t="str">
        <f>exca!A17</f>
        <v>B 03</v>
      </c>
      <c r="B7" s="1630" t="str">
        <f>exca!B17</f>
        <v xml:space="preserve">Excavation for column, wall, staircase foundations in any material (except rock requiring blasting) up to depth (as per the drawings), part return fill in and ram and surplus depositted within site as directed.                                                                                                           </v>
      </c>
      <c r="C7" s="1629"/>
      <c r="D7" s="1629" t="s">
        <v>1923</v>
      </c>
      <c r="E7" s="1639">
        <v>1</v>
      </c>
      <c r="F7" s="1639">
        <v>0.9</v>
      </c>
      <c r="G7" s="1639">
        <v>1.2</v>
      </c>
      <c r="H7" s="1639">
        <f>0.75+0.75</f>
        <v>1.5</v>
      </c>
      <c r="I7" s="1639">
        <f>H7*G7*F7*E7</f>
        <v>1.6199999999999999</v>
      </c>
      <c r="J7" s="1639"/>
      <c r="K7" s="1640"/>
      <c r="L7" s="1640"/>
      <c r="M7" s="1641"/>
      <c r="N7" s="1642"/>
      <c r="O7" s="1639"/>
      <c r="P7" s="1668">
        <f>E7*F7*G7</f>
        <v>1.08</v>
      </c>
      <c r="Q7" s="1627"/>
      <c r="R7" s="1631"/>
      <c r="S7" s="1631"/>
      <c r="T7" s="1631"/>
      <c r="U7" s="1631"/>
      <c r="V7" s="1631"/>
    </row>
    <row r="8" spans="1:22" ht="15" thickTop="1" thickBot="1" x14ac:dyDescent="0.3">
      <c r="A8" s="937"/>
      <c r="B8" s="938"/>
      <c r="C8" s="938"/>
      <c r="D8" s="938" t="s">
        <v>1924</v>
      </c>
      <c r="E8" s="1624">
        <v>3</v>
      </c>
      <c r="F8" s="1624">
        <v>1.65</v>
      </c>
      <c r="G8" s="1624">
        <v>1.65</v>
      </c>
      <c r="H8" s="1639">
        <f t="shared" ref="H8:H15" si="3">0.75+0.75</f>
        <v>1.5</v>
      </c>
      <c r="I8" s="1639">
        <f t="shared" ref="I8:I16" si="4">H8*G8*F8*E8</f>
        <v>12.251249999999999</v>
      </c>
      <c r="J8" s="1624"/>
      <c r="K8" s="1643"/>
      <c r="L8" s="1643"/>
      <c r="M8" s="1634"/>
      <c r="N8" s="1644"/>
      <c r="O8" s="1624"/>
      <c r="P8" s="1668"/>
      <c r="Q8" s="1620">
        <f>SUM(E8:E17)</f>
        <v>20</v>
      </c>
      <c r="R8" s="939"/>
      <c r="S8" s="939"/>
      <c r="T8" s="939"/>
      <c r="U8" s="939"/>
      <c r="V8" s="939"/>
    </row>
    <row r="9" spans="1:22" ht="15" thickTop="1" thickBot="1" x14ac:dyDescent="0.3">
      <c r="A9" s="937"/>
      <c r="B9" s="938"/>
      <c r="C9" s="938"/>
      <c r="D9" s="1629" t="s">
        <v>1925</v>
      </c>
      <c r="E9" s="1624">
        <v>3</v>
      </c>
      <c r="F9" s="1624">
        <v>1.98</v>
      </c>
      <c r="G9" s="1624">
        <v>1.98</v>
      </c>
      <c r="H9" s="1639">
        <f t="shared" si="3"/>
        <v>1.5</v>
      </c>
      <c r="I9" s="1639">
        <f t="shared" si="4"/>
        <v>17.641799999999996</v>
      </c>
      <c r="J9" s="1624"/>
      <c r="K9" s="1643"/>
      <c r="L9" s="1643"/>
      <c r="M9" s="1634"/>
      <c r="N9" s="1644"/>
      <c r="O9" s="1624"/>
      <c r="P9" s="1668"/>
      <c r="Q9" s="1620">
        <f>Q8*0.3*0.3*0.75</f>
        <v>1.3499999999999999</v>
      </c>
      <c r="R9" s="939"/>
      <c r="S9" s="939"/>
      <c r="T9" s="939"/>
      <c r="U9" s="939"/>
      <c r="V9" s="939"/>
    </row>
    <row r="10" spans="1:22" ht="15" thickTop="1" thickBot="1" x14ac:dyDescent="0.3">
      <c r="A10" s="937"/>
      <c r="B10" s="938"/>
      <c r="C10" s="938"/>
      <c r="D10" s="1629" t="s">
        <v>1926</v>
      </c>
      <c r="E10" s="1624">
        <v>2</v>
      </c>
      <c r="F10" s="1624">
        <v>1.1000000000000001</v>
      </c>
      <c r="G10" s="1624">
        <v>1.5</v>
      </c>
      <c r="H10" s="1639">
        <f t="shared" si="3"/>
        <v>1.5</v>
      </c>
      <c r="I10" s="1639">
        <f t="shared" si="4"/>
        <v>4.95</v>
      </c>
      <c r="J10" s="1624"/>
      <c r="K10" s="1643"/>
      <c r="L10" s="1643"/>
      <c r="M10" s="1634"/>
      <c r="N10" s="1644"/>
      <c r="O10" s="1624"/>
      <c r="P10" s="1668"/>
      <c r="Q10" s="934"/>
      <c r="R10" s="939"/>
      <c r="S10" s="939"/>
      <c r="T10" s="939"/>
      <c r="U10" s="939"/>
      <c r="V10" s="939"/>
    </row>
    <row r="11" spans="1:22" ht="15" thickTop="1" thickBot="1" x14ac:dyDescent="0.3">
      <c r="A11" s="937"/>
      <c r="B11" s="938"/>
      <c r="C11" s="938"/>
      <c r="D11" s="938" t="s">
        <v>1927</v>
      </c>
      <c r="E11" s="1624">
        <v>3</v>
      </c>
      <c r="F11" s="1624">
        <v>1.45</v>
      </c>
      <c r="G11" s="1624">
        <v>1.45</v>
      </c>
      <c r="H11" s="1639">
        <f t="shared" si="3"/>
        <v>1.5</v>
      </c>
      <c r="I11" s="1639">
        <f t="shared" si="4"/>
        <v>9.4612499999999997</v>
      </c>
      <c r="J11" s="1624"/>
      <c r="K11" s="1643"/>
      <c r="L11" s="1643"/>
      <c r="M11" s="1634"/>
      <c r="N11" s="1644"/>
      <c r="O11" s="1624"/>
      <c r="P11" s="1668"/>
      <c r="Q11" s="934"/>
      <c r="R11" s="939"/>
      <c r="S11" s="939"/>
      <c r="T11" s="939"/>
      <c r="U11" s="939"/>
      <c r="V11" s="939"/>
    </row>
    <row r="12" spans="1:22" ht="15" thickTop="1" thickBot="1" x14ac:dyDescent="0.3">
      <c r="A12" s="937"/>
      <c r="B12" s="938"/>
      <c r="C12" s="938"/>
      <c r="D12" s="1629" t="s">
        <v>1928</v>
      </c>
      <c r="E12" s="1624">
        <v>1</v>
      </c>
      <c r="F12" s="1624">
        <v>1.25</v>
      </c>
      <c r="G12" s="1624">
        <v>2.2999999999999998</v>
      </c>
      <c r="H12" s="1639">
        <f t="shared" si="3"/>
        <v>1.5</v>
      </c>
      <c r="I12" s="1639">
        <f t="shared" si="4"/>
        <v>4.3125</v>
      </c>
      <c r="J12" s="1624"/>
      <c r="K12" s="1643"/>
      <c r="L12" s="1643"/>
      <c r="M12" s="1634"/>
      <c r="N12" s="1644"/>
      <c r="O12" s="1624"/>
      <c r="P12" s="1668"/>
      <c r="Q12" s="934"/>
      <c r="R12" s="939"/>
      <c r="S12" s="939"/>
      <c r="T12" s="939"/>
      <c r="U12" s="939"/>
      <c r="V12" s="939"/>
    </row>
    <row r="13" spans="1:22" ht="15" thickTop="1" thickBot="1" x14ac:dyDescent="0.3">
      <c r="A13" s="937"/>
      <c r="B13" s="938"/>
      <c r="C13" s="938"/>
      <c r="D13" s="1629" t="s">
        <v>1929</v>
      </c>
      <c r="E13" s="1624">
        <v>1</v>
      </c>
      <c r="F13" s="1624">
        <v>3.36</v>
      </c>
      <c r="G13" s="1624">
        <v>2.16</v>
      </c>
      <c r="H13" s="1639">
        <f t="shared" si="3"/>
        <v>1.5</v>
      </c>
      <c r="I13" s="1639">
        <f t="shared" si="4"/>
        <v>10.8864</v>
      </c>
      <c r="J13" s="1624"/>
      <c r="K13" s="1643"/>
      <c r="L13" s="1643"/>
      <c r="M13" s="1634"/>
      <c r="N13" s="1644"/>
      <c r="O13" s="1624"/>
      <c r="P13" s="1668"/>
      <c r="Q13" s="934"/>
      <c r="R13" s="939"/>
      <c r="S13" s="939"/>
      <c r="T13" s="939"/>
      <c r="U13" s="939"/>
      <c r="V13" s="939"/>
    </row>
    <row r="14" spans="1:22" ht="15" thickTop="1" thickBot="1" x14ac:dyDescent="0.3">
      <c r="A14" s="937"/>
      <c r="B14" s="938"/>
      <c r="C14" s="938"/>
      <c r="D14" s="938" t="s">
        <v>1930</v>
      </c>
      <c r="E14" s="1624">
        <v>2</v>
      </c>
      <c r="F14" s="1624">
        <v>1.1000000000000001</v>
      </c>
      <c r="G14" s="1624">
        <v>1.1000000000000001</v>
      </c>
      <c r="H14" s="1639">
        <f t="shared" si="3"/>
        <v>1.5</v>
      </c>
      <c r="I14" s="1639">
        <f t="shared" si="4"/>
        <v>3.6300000000000008</v>
      </c>
      <c r="J14" s="1624"/>
      <c r="K14" s="1643"/>
      <c r="L14" s="1643"/>
      <c r="M14" s="1634"/>
      <c r="N14" s="1644"/>
      <c r="O14" s="1624"/>
      <c r="P14" s="1668"/>
      <c r="Q14" s="934"/>
      <c r="R14" s="939"/>
      <c r="S14" s="939"/>
      <c r="T14" s="939"/>
      <c r="U14" s="939"/>
      <c r="V14" s="939"/>
    </row>
    <row r="15" spans="1:22" ht="15" thickTop="1" thickBot="1" x14ac:dyDescent="0.3">
      <c r="A15" s="937"/>
      <c r="B15" s="938"/>
      <c r="C15" s="938"/>
      <c r="D15" s="1629" t="s">
        <v>1931</v>
      </c>
      <c r="E15" s="1624">
        <v>1</v>
      </c>
      <c r="F15" s="1624">
        <v>1.8</v>
      </c>
      <c r="G15" s="1624">
        <v>1.8</v>
      </c>
      <c r="H15" s="1639">
        <f t="shared" si="3"/>
        <v>1.5</v>
      </c>
      <c r="I15" s="1639">
        <f t="shared" si="4"/>
        <v>4.8600000000000003</v>
      </c>
      <c r="J15" s="1624"/>
      <c r="K15" s="1643"/>
      <c r="L15" s="1643"/>
      <c r="M15" s="1634"/>
      <c r="N15" s="1644"/>
      <c r="O15" s="1624"/>
      <c r="P15" s="1668"/>
      <c r="Q15" s="934"/>
      <c r="R15" s="939"/>
      <c r="S15" s="939"/>
      <c r="T15" s="939"/>
      <c r="U15" s="939"/>
      <c r="V15" s="939"/>
    </row>
    <row r="16" spans="1:22" ht="15" thickTop="1" thickBot="1" x14ac:dyDescent="0.3">
      <c r="A16" s="937"/>
      <c r="B16" s="938"/>
      <c r="C16" s="938"/>
      <c r="D16" s="1629">
        <v>1</v>
      </c>
      <c r="E16" s="1624">
        <v>2</v>
      </c>
      <c r="F16" s="1624">
        <v>12.5</v>
      </c>
      <c r="G16" s="1624">
        <v>0.75</v>
      </c>
      <c r="H16" s="1624">
        <f>0.45+0.75</f>
        <v>1.2</v>
      </c>
      <c r="I16" s="1639">
        <f t="shared" si="4"/>
        <v>22.499999999999996</v>
      </c>
      <c r="J16" s="1624"/>
      <c r="K16" s="1643"/>
      <c r="L16" s="1643"/>
      <c r="M16" s="1634"/>
      <c r="N16" s="1644"/>
      <c r="O16" s="1624"/>
      <c r="P16" s="1668">
        <f>F16*E16</f>
        <v>25</v>
      </c>
      <c r="Q16" s="934"/>
      <c r="R16" s="939"/>
      <c r="S16" s="939"/>
      <c r="T16" s="939"/>
      <c r="U16" s="939"/>
      <c r="V16" s="939"/>
    </row>
    <row r="17" spans="1:22" ht="15" thickTop="1" thickBot="1" x14ac:dyDescent="0.3">
      <c r="A17" s="937"/>
      <c r="B17" s="938"/>
      <c r="C17" s="938"/>
      <c r="D17" s="938"/>
      <c r="E17" s="1624">
        <v>2</v>
      </c>
      <c r="F17" s="1624">
        <v>13.9</v>
      </c>
      <c r="G17" s="1624">
        <v>0.75</v>
      </c>
      <c r="H17" s="1624">
        <f>0.45+0.75</f>
        <v>1.2</v>
      </c>
      <c r="I17" s="1639">
        <f t="shared" ref="I17" si="5">H17*G17*F17*E17</f>
        <v>25.02</v>
      </c>
      <c r="J17" s="1624"/>
      <c r="K17" s="1640"/>
      <c r="L17" s="1640"/>
      <c r="M17" s="1641"/>
      <c r="N17" s="1642"/>
      <c r="O17" s="1639"/>
      <c r="P17" s="1668">
        <f>F17*E17</f>
        <v>27.8</v>
      </c>
      <c r="Q17" s="1620">
        <f>P16+P17</f>
        <v>52.8</v>
      </c>
      <c r="R17" s="939">
        <f>Q17*1*0.35</f>
        <v>18.479999999999997</v>
      </c>
      <c r="S17" s="939"/>
      <c r="T17" s="939"/>
      <c r="U17" s="939"/>
      <c r="V17" s="939"/>
    </row>
    <row r="18" spans="1:22" ht="15" thickTop="1" thickBot="1" x14ac:dyDescent="0.3">
      <c r="A18" s="937"/>
      <c r="B18" s="938"/>
      <c r="C18" s="938"/>
      <c r="D18" s="938"/>
      <c r="E18" s="1624"/>
      <c r="F18" s="1624"/>
      <c r="G18" s="1624"/>
      <c r="H18" s="1624"/>
      <c r="I18" s="1624"/>
      <c r="J18" s="1624">
        <f>SUM(I7:I18)</f>
        <v>117.13319999999999</v>
      </c>
      <c r="K18" s="1643">
        <f t="shared" ref="K18" si="6">$K$2</f>
        <v>1.05</v>
      </c>
      <c r="L18" s="1643">
        <f t="shared" ref="L18:L21" si="7">K18*J18</f>
        <v>122.98985999999999</v>
      </c>
      <c r="M18" s="1634">
        <f t="shared" ref="M18:M21" si="8">ROUND(L18,1)</f>
        <v>123</v>
      </c>
      <c r="N18" s="1644">
        <f t="shared" ref="N18" si="9">ROUNDUP(M18,0)</f>
        <v>123</v>
      </c>
      <c r="O18" s="1624" t="s">
        <v>693</v>
      </c>
      <c r="P18" s="934"/>
      <c r="Q18" s="934"/>
      <c r="R18" s="939"/>
      <c r="S18" s="939"/>
      <c r="T18" s="939"/>
      <c r="U18" s="939"/>
      <c r="V18" s="939"/>
    </row>
    <row r="19" spans="1:22" ht="15" thickTop="1" thickBot="1" x14ac:dyDescent="0.3">
      <c r="A19" s="937"/>
      <c r="B19" s="938"/>
      <c r="C19" s="938"/>
      <c r="D19" s="938"/>
      <c r="E19" s="1624"/>
      <c r="F19" s="1624"/>
      <c r="G19" s="1624"/>
      <c r="H19" s="1624"/>
      <c r="I19" s="1624"/>
      <c r="J19" s="1624"/>
      <c r="K19" s="1643"/>
      <c r="L19" s="1643"/>
      <c r="M19" s="1634"/>
      <c r="N19" s="1644"/>
      <c r="O19" s="1624"/>
      <c r="P19" s="934"/>
      <c r="Q19" s="934"/>
      <c r="R19" s="939"/>
      <c r="S19" s="939"/>
      <c r="T19" s="939"/>
      <c r="U19" s="939"/>
      <c r="V19" s="939"/>
    </row>
    <row r="20" spans="1:22" ht="15" thickTop="1" thickBot="1" x14ac:dyDescent="0.3">
      <c r="A20" s="937"/>
      <c r="B20" s="938"/>
      <c r="C20" s="938"/>
      <c r="D20" s="938"/>
      <c r="E20" s="1624"/>
      <c r="F20" s="1624"/>
      <c r="G20" s="1624"/>
      <c r="H20" s="1624"/>
      <c r="I20" s="1624"/>
      <c r="J20" s="1624"/>
      <c r="K20" s="1643"/>
      <c r="L20" s="1643"/>
      <c r="M20" s="1634"/>
      <c r="N20" s="1644"/>
      <c r="O20" s="1624"/>
      <c r="P20" s="934"/>
      <c r="Q20" s="934"/>
      <c r="R20" s="939"/>
      <c r="S20" s="939"/>
      <c r="T20" s="939"/>
      <c r="U20" s="939"/>
      <c r="V20" s="939"/>
    </row>
    <row r="21" spans="1:22" ht="15" thickTop="1" thickBot="1" x14ac:dyDescent="0.3">
      <c r="A21" s="937" t="str">
        <f>exca!A29</f>
        <v>B 06</v>
      </c>
      <c r="B21" s="1623" t="str">
        <f>exca!B28</f>
        <v>Back Filling</v>
      </c>
      <c r="C21" s="938"/>
      <c r="D21" s="938"/>
      <c r="E21" s="1624"/>
      <c r="F21" s="1624"/>
      <c r="G21" s="1624"/>
      <c r="H21" s="1624"/>
      <c r="I21" s="1624">
        <v>20</v>
      </c>
      <c r="J21" s="1624">
        <f>SUM(I21)</f>
        <v>20</v>
      </c>
      <c r="K21" s="1643">
        <f>$K$2</f>
        <v>1.05</v>
      </c>
      <c r="L21" s="1643">
        <f t="shared" si="7"/>
        <v>21</v>
      </c>
      <c r="M21" s="1634">
        <f t="shared" si="8"/>
        <v>21</v>
      </c>
      <c r="N21" s="1644">
        <f t="shared" ref="N21" si="10">ROUNDUP(M21,0)</f>
        <v>21</v>
      </c>
      <c r="O21" s="1624" t="s">
        <v>693</v>
      </c>
      <c r="P21" s="934"/>
      <c r="Q21" s="934"/>
      <c r="R21" s="939"/>
      <c r="S21" s="939"/>
      <c r="T21" s="939"/>
      <c r="U21" s="939"/>
      <c r="V21" s="939"/>
    </row>
    <row r="22" spans="1:22" ht="15" thickTop="1" thickBot="1" x14ac:dyDescent="0.3">
      <c r="A22" s="937"/>
      <c r="B22" s="938"/>
      <c r="C22" s="938"/>
      <c r="D22" s="938"/>
      <c r="E22" s="1624"/>
      <c r="F22" s="1624"/>
      <c r="G22" s="1624"/>
      <c r="H22" s="1624"/>
      <c r="I22" s="1624"/>
      <c r="J22" s="1624"/>
      <c r="K22" s="1643"/>
      <c r="L22" s="1643"/>
      <c r="M22" s="1634"/>
      <c r="N22" s="1644"/>
      <c r="O22" s="1624"/>
      <c r="P22" s="934"/>
      <c r="Q22" s="934"/>
      <c r="R22" s="939"/>
      <c r="S22" s="939"/>
      <c r="T22" s="939"/>
      <c r="U22" s="939"/>
      <c r="V22" s="939"/>
    </row>
    <row r="23" spans="1:22" ht="15" thickTop="1" thickBot="1" x14ac:dyDescent="0.3">
      <c r="A23" s="937">
        <f>exca!A34</f>
        <v>0</v>
      </c>
      <c r="B23" s="1623" t="str">
        <f>exca!B33</f>
        <v>Antitermite -Tretement</v>
      </c>
      <c r="C23" s="938"/>
      <c r="D23" s="938"/>
      <c r="E23" s="1624"/>
      <c r="F23" s="1624"/>
      <c r="G23" s="1624"/>
      <c r="H23" s="1624"/>
      <c r="I23" s="1624"/>
      <c r="J23" s="1624">
        <f>SUM(I23)</f>
        <v>0</v>
      </c>
      <c r="K23" s="1643">
        <f>$K$2</f>
        <v>1.05</v>
      </c>
      <c r="L23" s="1643">
        <f t="shared" ref="L23" si="11">K23*J23</f>
        <v>0</v>
      </c>
      <c r="M23" s="1634">
        <f t="shared" ref="M23" si="12">ROUND(L23,1)</f>
        <v>0</v>
      </c>
      <c r="N23" s="1644">
        <f t="shared" ref="N23" si="13">ROUNDUP(M23,0)</f>
        <v>0</v>
      </c>
      <c r="O23" s="1624" t="s">
        <v>692</v>
      </c>
      <c r="P23" s="934"/>
      <c r="Q23" s="934"/>
      <c r="R23" s="939"/>
      <c r="S23" s="939"/>
      <c r="T23" s="939"/>
      <c r="U23" s="939"/>
      <c r="V23" s="939"/>
    </row>
    <row r="24" spans="1:22" ht="15" thickTop="1" thickBot="1" x14ac:dyDescent="0.3">
      <c r="A24" s="937"/>
      <c r="B24" s="938"/>
      <c r="C24" s="938"/>
      <c r="D24" s="938"/>
      <c r="E24" s="1624"/>
      <c r="F24" s="1624"/>
      <c r="G24" s="1624"/>
      <c r="H24" s="1624"/>
      <c r="I24" s="1624"/>
      <c r="J24" s="1624"/>
      <c r="K24" s="1643"/>
      <c r="L24" s="1643"/>
      <c r="M24" s="1634"/>
      <c r="N24" s="1644"/>
      <c r="O24" s="1624"/>
      <c r="P24" s="934"/>
      <c r="Q24" s="934"/>
      <c r="R24" s="939"/>
      <c r="S24" s="939"/>
      <c r="T24" s="939"/>
      <c r="U24" s="939"/>
      <c r="V24" s="939"/>
    </row>
    <row r="25" spans="1:22" s="1628" customFormat="1" ht="70.2" thickTop="1" thickBot="1" x14ac:dyDescent="0.3">
      <c r="A25" s="1625" t="str">
        <f>concrete!A7</f>
        <v>C 01</v>
      </c>
      <c r="B25" s="1630" t="str">
        <f>concrete!B7</f>
        <v xml:space="preserve">Cement concrete 1:3:6 (1") laid to a thickness of 2" in wall foundations, under column/stair footings,plinth beams including placing in position,compacting and curing.
</v>
      </c>
      <c r="C25" s="1629"/>
      <c r="D25" s="1629"/>
      <c r="E25" s="1639"/>
      <c r="F25" s="1639"/>
      <c r="G25" s="1639"/>
      <c r="H25" s="1639"/>
      <c r="I25" s="1639"/>
      <c r="J25" s="1639"/>
      <c r="K25" s="1640"/>
      <c r="L25" s="1640"/>
      <c r="M25" s="1641"/>
      <c r="N25" s="1642"/>
      <c r="O25" s="1639"/>
      <c r="P25" s="1627"/>
      <c r="Q25" s="1627"/>
      <c r="R25" s="1631"/>
      <c r="S25" s="1631"/>
      <c r="T25" s="1631"/>
      <c r="U25" s="1631"/>
      <c r="V25" s="1631"/>
    </row>
    <row r="26" spans="1:22" ht="15" thickTop="1" thickBot="1" x14ac:dyDescent="0.3">
      <c r="A26" s="937"/>
      <c r="B26" s="938"/>
      <c r="C26" s="938"/>
      <c r="D26" s="938"/>
      <c r="E26" s="1624"/>
      <c r="F26" s="1624"/>
      <c r="G26" s="1624"/>
      <c r="H26" s="1639"/>
      <c r="I26" s="1639"/>
      <c r="J26" s="1624"/>
      <c r="K26" s="1643"/>
      <c r="L26" s="1643"/>
      <c r="M26" s="1634"/>
      <c r="N26" s="1644"/>
      <c r="O26" s="1624"/>
      <c r="P26" s="934"/>
      <c r="Q26" s="934"/>
      <c r="R26" s="939"/>
      <c r="S26" s="939"/>
      <c r="T26" s="939"/>
      <c r="U26" s="939"/>
      <c r="V26" s="939"/>
    </row>
    <row r="27" spans="1:22" ht="15" thickTop="1" thickBot="1" x14ac:dyDescent="0.3">
      <c r="A27" s="937"/>
      <c r="B27" s="938"/>
      <c r="C27" s="938"/>
      <c r="D27" s="1629"/>
      <c r="E27" s="1624"/>
      <c r="F27" s="1624"/>
      <c r="G27" s="1624"/>
      <c r="H27" s="1639"/>
      <c r="I27" s="1639"/>
      <c r="J27" s="1624"/>
      <c r="K27" s="1643"/>
      <c r="L27" s="1643"/>
      <c r="M27" s="1634"/>
      <c r="N27" s="1644"/>
      <c r="O27" s="1624"/>
      <c r="P27" s="934"/>
      <c r="Q27" s="934"/>
      <c r="R27" s="939"/>
      <c r="S27" s="939"/>
      <c r="T27" s="939"/>
      <c r="U27" s="939"/>
      <c r="V27" s="939"/>
    </row>
    <row r="28" spans="1:22" ht="15" thickTop="1" thickBot="1" x14ac:dyDescent="0.3">
      <c r="A28" s="937"/>
      <c r="B28" s="938"/>
      <c r="C28" s="938"/>
      <c r="D28" s="938"/>
      <c r="E28" s="1624"/>
      <c r="F28" s="1624"/>
      <c r="G28" s="1624"/>
      <c r="H28" s="1639"/>
      <c r="I28" s="1639"/>
      <c r="J28" s="1624"/>
      <c r="K28" s="1643"/>
      <c r="L28" s="1643"/>
      <c r="M28" s="1634"/>
      <c r="N28" s="1644"/>
      <c r="O28" s="1624"/>
      <c r="P28" s="934"/>
      <c r="Q28" s="934"/>
      <c r="R28" s="939"/>
      <c r="S28" s="939"/>
      <c r="T28" s="939"/>
      <c r="U28" s="939"/>
      <c r="V28" s="939"/>
    </row>
    <row r="29" spans="1:22" ht="15" thickTop="1" thickBot="1" x14ac:dyDescent="0.3">
      <c r="A29" s="937"/>
      <c r="B29" s="938"/>
      <c r="C29" s="938"/>
      <c r="D29" s="1629"/>
      <c r="E29" s="1624"/>
      <c r="F29" s="1624"/>
      <c r="G29" s="1624"/>
      <c r="H29" s="1639"/>
      <c r="I29" s="1639"/>
      <c r="J29" s="1624"/>
      <c r="K29" s="1643"/>
      <c r="L29" s="1643"/>
      <c r="M29" s="1634"/>
      <c r="N29" s="1644"/>
      <c r="O29" s="1624"/>
      <c r="P29" s="934"/>
      <c r="Q29" s="934"/>
      <c r="R29" s="939"/>
      <c r="S29" s="939"/>
      <c r="T29" s="939"/>
      <c r="U29" s="939"/>
      <c r="V29" s="939"/>
    </row>
    <row r="30" spans="1:22" ht="15" thickTop="1" thickBot="1" x14ac:dyDescent="0.3">
      <c r="A30" s="937"/>
      <c r="B30" s="938"/>
      <c r="C30" s="938"/>
      <c r="D30" s="938"/>
      <c r="E30" s="1624"/>
      <c r="F30" s="1624"/>
      <c r="G30" s="1624"/>
      <c r="H30" s="1639"/>
      <c r="I30" s="1639"/>
      <c r="J30" s="1624"/>
      <c r="K30" s="1643"/>
      <c r="L30" s="1643"/>
      <c r="M30" s="1634"/>
      <c r="N30" s="1644"/>
      <c r="O30" s="1624"/>
      <c r="P30" s="934"/>
      <c r="Q30" s="934"/>
      <c r="R30" s="939">
        <f>1500-710-690</f>
        <v>100</v>
      </c>
      <c r="S30" s="939"/>
      <c r="T30" s="939"/>
      <c r="U30" s="939"/>
      <c r="V30" s="939"/>
    </row>
    <row r="31" spans="1:22" ht="15" thickTop="1" thickBot="1" x14ac:dyDescent="0.3">
      <c r="A31" s="937"/>
      <c r="B31" s="938"/>
      <c r="C31" s="938"/>
      <c r="D31" s="1629"/>
      <c r="E31" s="1624"/>
      <c r="F31" s="1624"/>
      <c r="G31" s="1624"/>
      <c r="H31" s="1639"/>
      <c r="I31" s="1639"/>
      <c r="J31" s="1624"/>
      <c r="K31" s="1643"/>
      <c r="L31" s="1643"/>
      <c r="M31" s="1634"/>
      <c r="N31" s="1644"/>
      <c r="O31" s="1624"/>
      <c r="P31" s="934"/>
      <c r="Q31" s="934"/>
      <c r="R31" s="939"/>
      <c r="S31" s="939"/>
      <c r="T31" s="939"/>
      <c r="U31" s="939"/>
      <c r="V31" s="939"/>
    </row>
    <row r="32" spans="1:22" ht="15" thickTop="1" thickBot="1" x14ac:dyDescent="0.3">
      <c r="A32" s="937"/>
      <c r="B32" s="938"/>
      <c r="C32" s="938"/>
      <c r="D32" s="938"/>
      <c r="E32" s="1624"/>
      <c r="F32" s="1624"/>
      <c r="G32" s="1624"/>
      <c r="H32" s="1639"/>
      <c r="I32" s="1639"/>
      <c r="J32" s="1624"/>
      <c r="K32" s="1643"/>
      <c r="L32" s="1643"/>
      <c r="M32" s="1634"/>
      <c r="N32" s="1644"/>
      <c r="O32" s="1624"/>
      <c r="P32" s="934"/>
      <c r="Q32" s="934"/>
      <c r="R32" s="939"/>
      <c r="S32" s="939"/>
      <c r="T32" s="939"/>
      <c r="U32" s="939"/>
      <c r="V32" s="939"/>
    </row>
    <row r="33" spans="1:22" ht="15" thickTop="1" thickBot="1" x14ac:dyDescent="0.3">
      <c r="A33" s="937"/>
      <c r="B33" s="938"/>
      <c r="C33" s="938"/>
      <c r="D33" s="1629"/>
      <c r="E33" s="1624"/>
      <c r="F33" s="1624"/>
      <c r="G33" s="1624"/>
      <c r="H33" s="1639"/>
      <c r="I33" s="1639"/>
      <c r="J33" s="1624"/>
      <c r="K33" s="1643"/>
      <c r="L33" s="1643"/>
      <c r="M33" s="1634"/>
      <c r="N33" s="1644"/>
      <c r="O33" s="1624"/>
      <c r="P33" s="934"/>
      <c r="Q33" s="934"/>
      <c r="R33" s="939"/>
      <c r="S33" s="939"/>
      <c r="T33" s="939"/>
      <c r="U33" s="939"/>
      <c r="V33" s="939"/>
    </row>
    <row r="34" spans="1:22" ht="15" thickTop="1" thickBot="1" x14ac:dyDescent="0.3">
      <c r="A34" s="937"/>
      <c r="B34" s="938"/>
      <c r="C34" s="938"/>
      <c r="D34" s="938"/>
      <c r="E34" s="1624"/>
      <c r="F34" s="1624"/>
      <c r="G34" s="1624"/>
      <c r="H34" s="1639"/>
      <c r="I34" s="1639"/>
      <c r="J34" s="1624"/>
      <c r="K34" s="1643"/>
      <c r="L34" s="1643"/>
      <c r="M34" s="1634"/>
      <c r="N34" s="1644"/>
      <c r="O34" s="1624"/>
      <c r="P34" s="934"/>
      <c r="Q34" s="934"/>
      <c r="R34" s="939"/>
      <c r="S34" s="939"/>
      <c r="T34" s="939"/>
      <c r="U34" s="939"/>
      <c r="V34" s="939"/>
    </row>
    <row r="35" spans="1:22" ht="15" thickTop="1" thickBot="1" x14ac:dyDescent="0.3">
      <c r="A35" s="937"/>
      <c r="B35" s="938"/>
      <c r="C35" s="938"/>
      <c r="D35" s="1629"/>
      <c r="E35" s="1624"/>
      <c r="F35" s="1624"/>
      <c r="G35" s="1624"/>
      <c r="H35" s="1639"/>
      <c r="I35" s="1639"/>
      <c r="J35" s="1624"/>
      <c r="K35" s="1643"/>
      <c r="L35" s="1643"/>
      <c r="M35" s="1634"/>
      <c r="N35" s="1644"/>
      <c r="O35" s="1624"/>
      <c r="P35" s="934"/>
      <c r="Q35" s="934"/>
      <c r="R35" s="939"/>
      <c r="S35" s="939"/>
      <c r="T35" s="939"/>
      <c r="U35" s="939"/>
      <c r="V35" s="939"/>
    </row>
    <row r="36" spans="1:22" ht="15" thickTop="1" thickBot="1" x14ac:dyDescent="0.3">
      <c r="A36" s="937"/>
      <c r="B36" s="938"/>
      <c r="C36" s="938"/>
      <c r="D36" s="938"/>
      <c r="E36" s="1624"/>
      <c r="F36" s="1624"/>
      <c r="G36" s="1624"/>
      <c r="H36" s="1639"/>
      <c r="I36" s="1639"/>
      <c r="J36" s="1624"/>
      <c r="K36" s="1643"/>
      <c r="L36" s="1643"/>
      <c r="M36" s="1634"/>
      <c r="N36" s="1644"/>
      <c r="O36" s="1624"/>
      <c r="P36" s="934"/>
      <c r="Q36" s="934"/>
      <c r="R36" s="939"/>
      <c r="S36" s="939"/>
      <c r="T36" s="939"/>
      <c r="U36" s="939"/>
      <c r="V36" s="939"/>
    </row>
    <row r="37" spans="1:22" ht="15" thickTop="1" thickBot="1" x14ac:dyDescent="0.3">
      <c r="A37" s="937"/>
      <c r="B37" s="938"/>
      <c r="C37" s="938"/>
      <c r="D37" s="1629"/>
      <c r="E37" s="1624"/>
      <c r="F37" s="1624"/>
      <c r="G37" s="1624"/>
      <c r="H37" s="1624"/>
      <c r="I37" s="1639"/>
      <c r="J37" s="1624"/>
      <c r="K37" s="1643"/>
      <c r="L37" s="1643"/>
      <c r="M37" s="1634"/>
      <c r="N37" s="1644"/>
      <c r="O37" s="1624"/>
      <c r="P37" s="934"/>
      <c r="Q37" s="934"/>
      <c r="R37" s="939"/>
      <c r="S37" s="939"/>
      <c r="T37" s="939"/>
      <c r="U37" s="939"/>
      <c r="V37" s="939"/>
    </row>
    <row r="38" spans="1:22" ht="15" thickTop="1" thickBot="1" x14ac:dyDescent="0.3">
      <c r="A38" s="937"/>
      <c r="B38" s="938"/>
      <c r="C38" s="938"/>
      <c r="D38" s="938"/>
      <c r="E38" s="1624"/>
      <c r="F38" s="1624"/>
      <c r="G38" s="1624"/>
      <c r="H38" s="1624"/>
      <c r="I38" s="1639"/>
      <c r="J38" s="1624"/>
      <c r="K38" s="1643"/>
      <c r="L38" s="1643"/>
      <c r="M38" s="1634"/>
      <c r="N38" s="1644"/>
      <c r="O38" s="1624"/>
      <c r="P38" s="934"/>
      <c r="Q38" s="1619">
        <f>I38/100</f>
        <v>0</v>
      </c>
      <c r="R38" s="939"/>
      <c r="S38" s="939"/>
      <c r="T38" s="939"/>
      <c r="U38" s="939"/>
      <c r="V38" s="939"/>
    </row>
    <row r="39" spans="1:22" ht="15" thickTop="1" thickBot="1" x14ac:dyDescent="0.3">
      <c r="A39" s="937"/>
      <c r="B39" s="938"/>
      <c r="C39" s="938"/>
      <c r="D39" s="938"/>
      <c r="E39" s="1624"/>
      <c r="F39" s="1624"/>
      <c r="G39" s="1624"/>
      <c r="H39" s="1624"/>
      <c r="I39" s="1639"/>
      <c r="J39" s="1624"/>
      <c r="K39" s="1643"/>
      <c r="L39" s="1643"/>
      <c r="M39" s="1634"/>
      <c r="N39" s="1644"/>
      <c r="O39" s="1624"/>
      <c r="P39" s="934"/>
      <c r="Q39" s="1619">
        <f>Q38*9.29</f>
        <v>0</v>
      </c>
      <c r="R39" s="939"/>
      <c r="S39" s="939"/>
      <c r="T39" s="939"/>
      <c r="U39" s="939"/>
      <c r="V39" s="939"/>
    </row>
    <row r="40" spans="1:22" ht="15" thickTop="1" thickBot="1" x14ac:dyDescent="0.3">
      <c r="A40" s="937"/>
      <c r="B40" s="938"/>
      <c r="C40" s="938"/>
      <c r="D40" s="938"/>
      <c r="E40" s="1624"/>
      <c r="F40" s="1624"/>
      <c r="G40" s="1624"/>
      <c r="H40" s="1624"/>
      <c r="I40" s="1639"/>
      <c r="J40" s="1624"/>
      <c r="K40" s="1643"/>
      <c r="L40" s="1643"/>
      <c r="M40" s="1634"/>
      <c r="N40" s="1644"/>
      <c r="O40" s="1624"/>
      <c r="P40" s="934"/>
      <c r="Q40" s="934"/>
      <c r="R40" s="939"/>
      <c r="S40" s="939"/>
      <c r="T40" s="939"/>
      <c r="U40" s="939"/>
      <c r="V40" s="939"/>
    </row>
    <row r="41" spans="1:22" ht="15" thickTop="1" thickBot="1" x14ac:dyDescent="0.3">
      <c r="A41" s="937"/>
      <c r="B41" s="938"/>
      <c r="C41" s="938"/>
      <c r="D41" s="938"/>
      <c r="E41" s="1624"/>
      <c r="F41" s="1624"/>
      <c r="G41" s="1624"/>
      <c r="H41" s="1624"/>
      <c r="I41" s="1639"/>
      <c r="J41" s="1624"/>
      <c r="K41" s="1643"/>
      <c r="L41" s="1643"/>
      <c r="M41" s="1634"/>
      <c r="N41" s="1644"/>
      <c r="O41" s="1624"/>
      <c r="P41" s="934"/>
      <c r="Q41" s="934"/>
      <c r="R41" s="939"/>
      <c r="S41" s="939"/>
      <c r="T41" s="939"/>
      <c r="U41" s="939"/>
      <c r="V41" s="939"/>
    </row>
    <row r="42" spans="1:22" ht="15" thickTop="1" thickBot="1" x14ac:dyDescent="0.3">
      <c r="A42" s="937"/>
      <c r="B42" s="938"/>
      <c r="C42" s="938"/>
      <c r="D42" s="938"/>
      <c r="E42" s="1624"/>
      <c r="F42" s="1624"/>
      <c r="G42" s="1624"/>
      <c r="H42" s="1624"/>
      <c r="I42" s="1639"/>
      <c r="J42" s="1624"/>
      <c r="K42" s="1643"/>
      <c r="L42" s="1643"/>
      <c r="M42" s="1634"/>
      <c r="N42" s="1644"/>
      <c r="O42" s="1624"/>
      <c r="P42" s="934"/>
      <c r="Q42" s="934"/>
      <c r="R42" s="939"/>
      <c r="S42" s="939"/>
      <c r="T42" s="939"/>
      <c r="U42" s="939"/>
      <c r="V42" s="939"/>
    </row>
    <row r="43" spans="1:22" ht="15" thickTop="1" thickBot="1" x14ac:dyDescent="0.3">
      <c r="A43" s="937"/>
      <c r="B43" s="938"/>
      <c r="C43" s="938"/>
      <c r="D43" s="938"/>
      <c r="E43" s="1624"/>
      <c r="F43" s="1624"/>
      <c r="G43" s="1624"/>
      <c r="H43" s="1624"/>
      <c r="I43" s="1639"/>
      <c r="J43" s="1624"/>
      <c r="K43" s="1643"/>
      <c r="L43" s="1643"/>
      <c r="M43" s="1634"/>
      <c r="N43" s="1644"/>
      <c r="O43" s="1624"/>
      <c r="P43" s="934"/>
      <c r="Q43" s="934"/>
      <c r="R43" s="939"/>
      <c r="S43" s="939"/>
      <c r="T43" s="939"/>
      <c r="U43" s="939"/>
      <c r="V43" s="939"/>
    </row>
    <row r="44" spans="1:22" ht="15" thickTop="1" thickBot="1" x14ac:dyDescent="0.3">
      <c r="A44" s="937"/>
      <c r="B44" s="938"/>
      <c r="C44" s="938"/>
      <c r="D44" s="938"/>
      <c r="E44" s="1624"/>
      <c r="F44" s="1624"/>
      <c r="G44" s="1624"/>
      <c r="H44" s="1624"/>
      <c r="I44" s="1639"/>
      <c r="J44" s="1624"/>
      <c r="K44" s="1643"/>
      <c r="L44" s="1643"/>
      <c r="M44" s="1634"/>
      <c r="N44" s="1644"/>
      <c r="O44" s="1624"/>
      <c r="P44" s="934"/>
      <c r="Q44" s="1620">
        <f>SUM(I33:I36)</f>
        <v>0</v>
      </c>
      <c r="R44" s="939"/>
      <c r="S44" s="939"/>
      <c r="T44" s="939"/>
      <c r="U44" s="939"/>
      <c r="V44" s="939"/>
    </row>
    <row r="45" spans="1:22" ht="15" thickTop="1" thickBot="1" x14ac:dyDescent="0.3">
      <c r="A45" s="937"/>
      <c r="B45" s="938"/>
      <c r="C45" s="938"/>
      <c r="D45" s="938"/>
      <c r="E45" s="1624"/>
      <c r="F45" s="1624"/>
      <c r="G45" s="1624"/>
      <c r="H45" s="1624"/>
      <c r="I45" s="1639"/>
      <c r="J45" s="1624"/>
      <c r="K45" s="1643"/>
      <c r="L45" s="1643"/>
      <c r="M45" s="1634"/>
      <c r="N45" s="1644"/>
      <c r="O45" s="1624"/>
      <c r="P45" s="934"/>
      <c r="Q45" s="1620">
        <f>SUM(I38:I47)</f>
        <v>0</v>
      </c>
      <c r="R45" s="939"/>
      <c r="S45" s="939"/>
      <c r="T45" s="939"/>
      <c r="U45" s="939"/>
      <c r="V45" s="939"/>
    </row>
    <row r="46" spans="1:22" ht="15" thickTop="1" thickBot="1" x14ac:dyDescent="0.3">
      <c r="A46" s="937"/>
      <c r="B46" s="938"/>
      <c r="C46" s="938"/>
      <c r="D46" s="938"/>
      <c r="E46" s="1624"/>
      <c r="F46" s="1624"/>
      <c r="G46" s="1624"/>
      <c r="H46" s="1624"/>
      <c r="I46" s="1639"/>
      <c r="J46" s="1624"/>
      <c r="K46" s="1643"/>
      <c r="L46" s="1643"/>
      <c r="M46" s="1634"/>
      <c r="N46" s="1644"/>
      <c r="O46" s="1624"/>
      <c r="P46" s="934"/>
      <c r="Q46" s="1619">
        <f>Q44+Q45</f>
        <v>0</v>
      </c>
      <c r="R46" s="939"/>
      <c r="S46" s="939"/>
      <c r="T46" s="939"/>
      <c r="U46" s="939"/>
      <c r="V46" s="939"/>
    </row>
    <row r="47" spans="1:22" ht="15" thickTop="1" thickBot="1" x14ac:dyDescent="0.3">
      <c r="A47" s="937"/>
      <c r="B47" s="938"/>
      <c r="C47" s="938"/>
      <c r="D47" s="938"/>
      <c r="E47" s="1624"/>
      <c r="F47" s="1624"/>
      <c r="G47" s="1624"/>
      <c r="H47" s="1624"/>
      <c r="I47" s="1639"/>
      <c r="J47" s="1624"/>
      <c r="K47" s="1643"/>
      <c r="L47" s="1643"/>
      <c r="M47" s="1634"/>
      <c r="N47" s="1644"/>
      <c r="O47" s="1624"/>
      <c r="P47" s="934"/>
      <c r="Q47" s="934"/>
      <c r="R47" s="939"/>
      <c r="S47" s="939"/>
      <c r="T47" s="939"/>
      <c r="U47" s="939"/>
      <c r="V47" s="939"/>
    </row>
    <row r="48" spans="1:22" ht="15" thickTop="1" thickBot="1" x14ac:dyDescent="0.3">
      <c r="A48" s="937"/>
      <c r="B48" s="938"/>
      <c r="C48" s="938"/>
      <c r="D48" s="938"/>
      <c r="E48" s="1624"/>
      <c r="F48" s="1624"/>
      <c r="G48" s="1624"/>
      <c r="H48" s="1624"/>
      <c r="I48" s="1639"/>
      <c r="J48" s="1624"/>
      <c r="K48" s="1643"/>
      <c r="L48" s="1643"/>
      <c r="M48" s="1634"/>
      <c r="N48" s="1644"/>
      <c r="O48" s="1624"/>
      <c r="P48" s="934"/>
      <c r="Q48" s="934"/>
      <c r="R48" s="939"/>
      <c r="S48" s="939"/>
      <c r="T48" s="939"/>
      <c r="U48" s="939"/>
      <c r="V48" s="939"/>
    </row>
    <row r="49" spans="1:22" ht="15" thickTop="1" thickBot="1" x14ac:dyDescent="0.3">
      <c r="A49" s="937"/>
      <c r="B49" s="938"/>
      <c r="C49" s="938"/>
      <c r="D49" s="938"/>
      <c r="E49" s="1624"/>
      <c r="F49" s="1624"/>
      <c r="G49" s="1624"/>
      <c r="H49" s="1624"/>
      <c r="I49" s="1639"/>
      <c r="J49" s="1624"/>
      <c r="K49" s="1643"/>
      <c r="L49" s="1643"/>
      <c r="M49" s="1634"/>
      <c r="N49" s="1644"/>
      <c r="O49" s="1624"/>
      <c r="P49" s="934"/>
      <c r="Q49" s="934"/>
      <c r="R49" s="939"/>
      <c r="S49" s="939"/>
      <c r="T49" s="939"/>
      <c r="U49" s="939"/>
      <c r="V49" s="939"/>
    </row>
    <row r="50" spans="1:22" ht="15" thickTop="1" thickBot="1" x14ac:dyDescent="0.3">
      <c r="A50" s="937"/>
      <c r="B50" s="938"/>
      <c r="C50" s="938"/>
      <c r="D50" s="938"/>
      <c r="E50" s="1624"/>
      <c r="F50" s="1624"/>
      <c r="G50" s="1624"/>
      <c r="H50" s="1624"/>
      <c r="I50" s="1639"/>
      <c r="J50" s="1624"/>
      <c r="K50" s="1643"/>
      <c r="L50" s="1643"/>
      <c r="M50" s="1634"/>
      <c r="N50" s="1644"/>
      <c r="O50" s="1624"/>
      <c r="P50" s="934"/>
      <c r="Q50" s="934"/>
      <c r="R50" s="939"/>
      <c r="S50" s="939"/>
      <c r="T50" s="939"/>
      <c r="U50" s="939"/>
      <c r="V50" s="939"/>
    </row>
    <row r="51" spans="1:22" ht="15" thickTop="1" thickBot="1" x14ac:dyDescent="0.3">
      <c r="A51" s="937"/>
      <c r="B51" s="938"/>
      <c r="C51" s="938"/>
      <c r="D51" s="938"/>
      <c r="E51" s="1624"/>
      <c r="F51" s="1624"/>
      <c r="G51" s="1624"/>
      <c r="H51" s="1624"/>
      <c r="I51" s="1639"/>
      <c r="J51" s="1624"/>
      <c r="K51" s="1643"/>
      <c r="L51" s="1643"/>
      <c r="M51" s="1634"/>
      <c r="N51" s="1644"/>
      <c r="O51" s="1624"/>
      <c r="P51" s="934"/>
      <c r="Q51" s="934"/>
      <c r="R51" s="939"/>
      <c r="S51" s="939"/>
      <c r="T51" s="939"/>
      <c r="U51" s="939"/>
      <c r="V51" s="939"/>
    </row>
    <row r="52" spans="1:22" ht="15" thickTop="1" thickBot="1" x14ac:dyDescent="0.3">
      <c r="A52" s="937"/>
      <c r="B52" s="938"/>
      <c r="C52" s="938"/>
      <c r="D52" s="938"/>
      <c r="E52" s="1624"/>
      <c r="F52" s="1624"/>
      <c r="G52" s="1624"/>
      <c r="H52" s="1624"/>
      <c r="I52" s="1639"/>
      <c r="J52" s="1624"/>
      <c r="K52" s="1643"/>
      <c r="L52" s="1643"/>
      <c r="M52" s="1634"/>
      <c r="N52" s="1644"/>
      <c r="O52" s="1624"/>
      <c r="P52" s="934"/>
      <c r="Q52" s="934"/>
      <c r="R52" s="939"/>
      <c r="S52" s="939"/>
      <c r="T52" s="939"/>
      <c r="U52" s="939"/>
      <c r="V52" s="939"/>
    </row>
    <row r="53" spans="1:22" ht="15" thickTop="1" thickBot="1" x14ac:dyDescent="0.3">
      <c r="A53" s="937"/>
      <c r="B53" s="938"/>
      <c r="C53" s="938"/>
      <c r="D53" s="938"/>
      <c r="E53" s="1624"/>
      <c r="F53" s="1624"/>
      <c r="G53" s="1624"/>
      <c r="H53" s="1624"/>
      <c r="I53" s="1639"/>
      <c r="J53" s="1624"/>
      <c r="K53" s="1643"/>
      <c r="L53" s="1643"/>
      <c r="M53" s="1634"/>
      <c r="N53" s="1644"/>
      <c r="O53" s="1624"/>
      <c r="P53" s="934"/>
      <c r="Q53" s="934"/>
      <c r="R53" s="939"/>
      <c r="S53" s="939"/>
      <c r="T53" s="939"/>
      <c r="U53" s="939"/>
      <c r="V53" s="939"/>
    </row>
    <row r="54" spans="1:22" ht="15" thickTop="1" thickBot="1" x14ac:dyDescent="0.3">
      <c r="A54" s="937"/>
      <c r="B54" s="938"/>
      <c r="C54" s="938"/>
      <c r="D54" s="938"/>
      <c r="E54" s="1624"/>
      <c r="F54" s="1624"/>
      <c r="G54" s="1624"/>
      <c r="H54" s="1624"/>
      <c r="I54" s="1639"/>
      <c r="J54" s="1624"/>
      <c r="K54" s="1643"/>
      <c r="L54" s="1643"/>
      <c r="M54" s="1634"/>
      <c r="N54" s="1644"/>
      <c r="O54" s="1624"/>
      <c r="P54" s="934"/>
      <c r="Q54" s="934"/>
      <c r="R54" s="939"/>
      <c r="S54" s="939"/>
      <c r="T54" s="939"/>
      <c r="U54" s="939"/>
      <c r="V54" s="939"/>
    </row>
    <row r="55" spans="1:22" ht="15" thickTop="1" thickBot="1" x14ac:dyDescent="0.3">
      <c r="A55" s="937"/>
      <c r="B55" s="938"/>
      <c r="C55" s="938"/>
      <c r="D55" s="938"/>
      <c r="E55" s="1624"/>
      <c r="F55" s="1624"/>
      <c r="G55" s="1624"/>
      <c r="H55" s="1624"/>
      <c r="I55" s="1639"/>
      <c r="J55" s="1624"/>
      <c r="K55" s="1643"/>
      <c r="L55" s="1643"/>
      <c r="M55" s="1634"/>
      <c r="N55" s="1644"/>
      <c r="O55" s="1624"/>
      <c r="P55" s="934"/>
      <c r="Q55" s="934"/>
      <c r="R55" s="939"/>
      <c r="S55" s="939"/>
      <c r="T55" s="939"/>
      <c r="U55" s="939"/>
      <c r="V55" s="939"/>
    </row>
    <row r="56" spans="1:22" ht="15" thickTop="1" thickBot="1" x14ac:dyDescent="0.3">
      <c r="A56" s="937"/>
      <c r="B56" s="938"/>
      <c r="C56" s="938"/>
      <c r="D56" s="938"/>
      <c r="E56" s="1624"/>
      <c r="F56" s="1624"/>
      <c r="G56" s="1624"/>
      <c r="H56" s="1624"/>
      <c r="I56" s="1639"/>
      <c r="J56" s="1624"/>
      <c r="K56" s="1643"/>
      <c r="L56" s="1643"/>
      <c r="M56" s="1634"/>
      <c r="N56" s="1644"/>
      <c r="O56" s="1624"/>
      <c r="P56" s="934"/>
      <c r="Q56" s="934"/>
      <c r="R56" s="939"/>
      <c r="S56" s="939"/>
      <c r="T56" s="939"/>
      <c r="U56" s="939"/>
      <c r="V56" s="939"/>
    </row>
    <row r="57" spans="1:22" ht="15" thickTop="1" thickBot="1" x14ac:dyDescent="0.3">
      <c r="A57" s="937"/>
      <c r="B57" s="938"/>
      <c r="C57" s="938"/>
      <c r="D57" s="938"/>
      <c r="E57" s="1624"/>
      <c r="F57" s="1624"/>
      <c r="G57" s="1624"/>
      <c r="H57" s="1624"/>
      <c r="I57" s="1639"/>
      <c r="J57" s="1624"/>
      <c r="K57" s="1643"/>
      <c r="L57" s="1643"/>
      <c r="M57" s="1634"/>
      <c r="N57" s="1644"/>
      <c r="O57" s="1624"/>
      <c r="P57" s="934"/>
      <c r="Q57" s="934"/>
      <c r="R57" s="939"/>
      <c r="S57" s="939"/>
      <c r="T57" s="939"/>
      <c r="U57" s="939"/>
      <c r="V57" s="939"/>
    </row>
    <row r="58" spans="1:22" ht="15" thickTop="1" thickBot="1" x14ac:dyDescent="0.3">
      <c r="A58" s="937"/>
      <c r="B58" s="938"/>
      <c r="C58" s="938"/>
      <c r="D58" s="938"/>
      <c r="E58" s="1624"/>
      <c r="F58" s="1624"/>
      <c r="G58" s="1624"/>
      <c r="H58" s="1624"/>
      <c r="I58" s="1639"/>
      <c r="J58" s="1624"/>
      <c r="K58" s="1643"/>
      <c r="L58" s="1643"/>
      <c r="M58" s="1634"/>
      <c r="N58" s="1644"/>
      <c r="O58" s="1624"/>
      <c r="P58" s="934"/>
      <c r="Q58" s="934"/>
      <c r="R58" s="939"/>
      <c r="S58" s="939"/>
      <c r="T58" s="939"/>
      <c r="U58" s="939"/>
      <c r="V58" s="939"/>
    </row>
    <row r="59" spans="1:22" ht="15" thickTop="1" thickBot="1" x14ac:dyDescent="0.3">
      <c r="A59" s="937"/>
      <c r="B59" s="938"/>
      <c r="C59" s="938"/>
      <c r="D59" s="938"/>
      <c r="E59" s="1624"/>
      <c r="F59" s="1624"/>
      <c r="G59" s="1624"/>
      <c r="H59" s="1624"/>
      <c r="I59" s="1639"/>
      <c r="J59" s="1624"/>
      <c r="K59" s="1643"/>
      <c r="L59" s="1643"/>
      <c r="M59" s="1634"/>
      <c r="N59" s="1644"/>
      <c r="O59" s="1624"/>
      <c r="P59" s="934"/>
      <c r="Q59" s="934"/>
      <c r="R59" s="939"/>
      <c r="S59" s="939"/>
      <c r="T59" s="939"/>
      <c r="U59" s="939"/>
      <c r="V59" s="939"/>
    </row>
    <row r="60" spans="1:22" ht="15" thickTop="1" thickBot="1" x14ac:dyDescent="0.3">
      <c r="A60" s="937"/>
      <c r="B60" s="938"/>
      <c r="C60" s="938"/>
      <c r="D60" s="938"/>
      <c r="E60" s="1624"/>
      <c r="F60" s="1624"/>
      <c r="G60" s="1624"/>
      <c r="H60" s="1624"/>
      <c r="I60" s="1639"/>
      <c r="J60" s="1624"/>
      <c r="K60" s="1643"/>
      <c r="L60" s="1643"/>
      <c r="M60" s="1634"/>
      <c r="N60" s="1644"/>
      <c r="O60" s="1624"/>
      <c r="P60" s="934"/>
      <c r="Q60" s="934"/>
      <c r="R60" s="939"/>
      <c r="S60" s="939"/>
      <c r="T60" s="939"/>
      <c r="U60" s="939"/>
      <c r="V60" s="939"/>
    </row>
    <row r="61" spans="1:22" ht="15" thickTop="1" thickBot="1" x14ac:dyDescent="0.3">
      <c r="A61" s="937"/>
      <c r="B61" s="938"/>
      <c r="C61" s="938"/>
      <c r="D61" s="938"/>
      <c r="E61" s="1624"/>
      <c r="F61" s="1624"/>
      <c r="G61" s="1624"/>
      <c r="H61" s="1624"/>
      <c r="I61" s="1639"/>
      <c r="J61" s="1624"/>
      <c r="K61" s="1643"/>
      <c r="L61" s="1643"/>
      <c r="M61" s="1634"/>
      <c r="N61" s="1644"/>
      <c r="O61" s="1624"/>
      <c r="P61" s="934"/>
      <c r="Q61" s="934"/>
      <c r="R61" s="939"/>
      <c r="S61" s="939"/>
      <c r="T61" s="939"/>
      <c r="U61" s="939"/>
      <c r="V61" s="939"/>
    </row>
    <row r="62" spans="1:22" ht="15" thickTop="1" thickBot="1" x14ac:dyDescent="0.3">
      <c r="A62" s="937"/>
      <c r="B62" s="938"/>
      <c r="C62" s="938"/>
      <c r="D62" s="938"/>
      <c r="E62" s="1624"/>
      <c r="F62" s="1624"/>
      <c r="G62" s="1624"/>
      <c r="H62" s="1624"/>
      <c r="I62" s="1639"/>
      <c r="J62" s="1624"/>
      <c r="K62" s="1643"/>
      <c r="L62" s="1643"/>
      <c r="M62" s="1634"/>
      <c r="N62" s="1644"/>
      <c r="O62" s="1624"/>
      <c r="P62" s="934"/>
      <c r="Q62" s="934"/>
      <c r="R62" s="939"/>
      <c r="S62" s="939"/>
      <c r="T62" s="939"/>
      <c r="U62" s="939"/>
      <c r="V62" s="939"/>
    </row>
    <row r="63" spans="1:22" ht="15" thickTop="1" thickBot="1" x14ac:dyDescent="0.3">
      <c r="A63" s="937"/>
      <c r="B63" s="938"/>
      <c r="C63" s="938"/>
      <c r="D63" s="938"/>
      <c r="E63" s="1624"/>
      <c r="F63" s="1624"/>
      <c r="G63" s="1624"/>
      <c r="H63" s="1624"/>
      <c r="I63" s="1639"/>
      <c r="J63" s="1624"/>
      <c r="K63" s="1643"/>
      <c r="L63" s="1643"/>
      <c r="M63" s="1634"/>
      <c r="N63" s="1644"/>
      <c r="O63" s="1624"/>
      <c r="P63" s="934"/>
      <c r="Q63" s="934"/>
      <c r="R63" s="939"/>
      <c r="S63" s="939"/>
      <c r="T63" s="939"/>
      <c r="U63" s="939"/>
      <c r="V63" s="939"/>
    </row>
    <row r="64" spans="1:22" ht="15" thickTop="1" thickBot="1" x14ac:dyDescent="0.3">
      <c r="A64" s="937"/>
      <c r="B64" s="938"/>
      <c r="C64" s="938"/>
      <c r="D64" s="938"/>
      <c r="E64" s="1624"/>
      <c r="F64" s="1624"/>
      <c r="G64" s="1624"/>
      <c r="H64" s="1624"/>
      <c r="I64" s="1639"/>
      <c r="J64" s="1624">
        <f>SUM(I25:I64)</f>
        <v>0</v>
      </c>
      <c r="K64" s="1643">
        <f>$K$2</f>
        <v>1.05</v>
      </c>
      <c r="L64" s="1643">
        <f t="shared" ref="L64:L96" si="14">K64*J64</f>
        <v>0</v>
      </c>
      <c r="M64" s="1634">
        <f t="shared" ref="M64:M96" si="15">ROUND(L64,1)</f>
        <v>0</v>
      </c>
      <c r="N64" s="1644">
        <f t="shared" ref="N64:N96" si="16">ROUNDUP(M64,0)</f>
        <v>0</v>
      </c>
      <c r="O64" s="1624" t="s">
        <v>693</v>
      </c>
      <c r="P64" s="934"/>
      <c r="Q64" s="934"/>
      <c r="R64" s="939"/>
      <c r="S64" s="939"/>
      <c r="T64" s="939"/>
      <c r="U64" s="939"/>
      <c r="V64" s="939"/>
    </row>
    <row r="65" spans="1:22" ht="15" thickTop="1" thickBot="1" x14ac:dyDescent="0.3">
      <c r="A65" s="937"/>
      <c r="B65" s="938"/>
      <c r="C65" s="938"/>
      <c r="D65" s="938"/>
      <c r="E65" s="1624"/>
      <c r="F65" s="1624"/>
      <c r="G65" s="1624"/>
      <c r="H65" s="1624"/>
      <c r="I65" s="1624"/>
      <c r="J65" s="1624"/>
      <c r="K65" s="1643"/>
      <c r="L65" s="1643"/>
      <c r="M65" s="1634"/>
      <c r="N65" s="1644"/>
      <c r="O65" s="1624"/>
      <c r="P65" s="934"/>
      <c r="Q65" s="934"/>
      <c r="R65" s="939"/>
      <c r="S65" s="939"/>
      <c r="T65" s="939"/>
      <c r="U65" s="939"/>
      <c r="V65" s="939"/>
    </row>
    <row r="66" spans="1:22" ht="15" thickTop="1" thickBot="1" x14ac:dyDescent="0.3">
      <c r="A66" s="937" t="str">
        <f>concrete!A15</f>
        <v>C2.1</v>
      </c>
      <c r="B66" s="1623" t="str">
        <f>concrete!B15</f>
        <v>In column/strip footing</v>
      </c>
      <c r="C66" s="938"/>
      <c r="D66" s="1629"/>
      <c r="E66" s="1639"/>
      <c r="F66" s="1639"/>
      <c r="G66" s="1639"/>
      <c r="H66" s="1624"/>
      <c r="I66" s="1624"/>
      <c r="J66" s="1624"/>
      <c r="K66" s="1643"/>
      <c r="L66" s="1643"/>
      <c r="M66" s="1634"/>
      <c r="N66" s="1644"/>
      <c r="O66" s="1624"/>
      <c r="P66" s="934"/>
      <c r="Q66" s="934"/>
      <c r="R66" s="939"/>
      <c r="S66" s="939"/>
      <c r="T66" s="939"/>
      <c r="U66" s="939"/>
      <c r="V66" s="939"/>
    </row>
    <row r="67" spans="1:22" ht="15" thickTop="1" thickBot="1" x14ac:dyDescent="0.3">
      <c r="A67" s="937"/>
      <c r="B67" s="938"/>
      <c r="C67" s="938"/>
      <c r="D67" s="938"/>
      <c r="E67" s="1624"/>
      <c r="F67" s="1624"/>
      <c r="G67" s="1624"/>
      <c r="H67" s="1624"/>
      <c r="I67" s="1624"/>
      <c r="J67" s="1624"/>
      <c r="K67" s="1643"/>
      <c r="L67" s="1643"/>
      <c r="M67" s="1634"/>
      <c r="N67" s="1644"/>
      <c r="O67" s="1624"/>
      <c r="P67" s="934"/>
      <c r="Q67" s="934"/>
      <c r="R67" s="939"/>
      <c r="S67" s="939"/>
      <c r="T67" s="939"/>
      <c r="U67" s="939"/>
      <c r="V67" s="939"/>
    </row>
    <row r="68" spans="1:22" ht="15" thickTop="1" thickBot="1" x14ac:dyDescent="0.3">
      <c r="A68" s="937"/>
      <c r="B68" s="938"/>
      <c r="C68" s="938"/>
      <c r="D68" s="1629"/>
      <c r="E68" s="1624"/>
      <c r="F68" s="1624"/>
      <c r="G68" s="1624"/>
      <c r="H68" s="1624"/>
      <c r="I68" s="1624"/>
      <c r="J68" s="1624"/>
      <c r="K68" s="1643"/>
      <c r="L68" s="1643"/>
      <c r="M68" s="1634"/>
      <c r="N68" s="1644"/>
      <c r="O68" s="1624"/>
      <c r="P68" s="934"/>
      <c r="Q68" s="934"/>
      <c r="R68" s="939"/>
      <c r="S68" s="939"/>
      <c r="T68" s="939"/>
      <c r="U68" s="939"/>
      <c r="V68" s="939"/>
    </row>
    <row r="69" spans="1:22" ht="15" thickTop="1" thickBot="1" x14ac:dyDescent="0.3">
      <c r="A69" s="937"/>
      <c r="B69" s="938"/>
      <c r="C69" s="938"/>
      <c r="D69" s="938"/>
      <c r="E69" s="1624"/>
      <c r="F69" s="1624"/>
      <c r="G69" s="1624"/>
      <c r="H69" s="1624"/>
      <c r="I69" s="1624"/>
      <c r="J69" s="1624"/>
      <c r="K69" s="1643"/>
      <c r="L69" s="1643"/>
      <c r="M69" s="1634"/>
      <c r="N69" s="1644"/>
      <c r="O69" s="1624"/>
      <c r="P69" s="934"/>
      <c r="Q69" s="934"/>
      <c r="R69" s="939"/>
      <c r="S69" s="939"/>
      <c r="T69" s="939"/>
      <c r="U69" s="939"/>
      <c r="V69" s="939"/>
    </row>
    <row r="70" spans="1:22" ht="15" thickTop="1" thickBot="1" x14ac:dyDescent="0.3">
      <c r="A70" s="937"/>
      <c r="B70" s="938"/>
      <c r="C70" s="938"/>
      <c r="D70" s="1629"/>
      <c r="E70" s="1624"/>
      <c r="F70" s="1624"/>
      <c r="G70" s="1624"/>
      <c r="H70" s="1624"/>
      <c r="I70" s="1624"/>
      <c r="J70" s="1624"/>
      <c r="K70" s="1643"/>
      <c r="L70" s="1643"/>
      <c r="M70" s="1634"/>
      <c r="N70" s="1644"/>
      <c r="O70" s="1624"/>
      <c r="P70" s="934"/>
      <c r="Q70" s="934"/>
      <c r="R70" s="939"/>
      <c r="S70" s="939"/>
      <c r="T70" s="939"/>
      <c r="U70" s="939"/>
      <c r="V70" s="939"/>
    </row>
    <row r="71" spans="1:22" ht="15" thickTop="1" thickBot="1" x14ac:dyDescent="0.3">
      <c r="A71" s="937"/>
      <c r="B71" s="938"/>
      <c r="C71" s="938"/>
      <c r="D71" s="938"/>
      <c r="E71" s="1624"/>
      <c r="F71" s="1624"/>
      <c r="G71" s="1624"/>
      <c r="H71" s="1624"/>
      <c r="I71" s="1624"/>
      <c r="J71" s="1624"/>
      <c r="K71" s="1643"/>
      <c r="L71" s="1643"/>
      <c r="M71" s="1634"/>
      <c r="N71" s="1644"/>
      <c r="O71" s="1624"/>
      <c r="P71" s="934"/>
      <c r="Q71" s="934"/>
      <c r="R71" s="939"/>
      <c r="S71" s="939"/>
      <c r="T71" s="939"/>
      <c r="U71" s="939"/>
      <c r="V71" s="939"/>
    </row>
    <row r="72" spans="1:22" ht="15" thickTop="1" thickBot="1" x14ac:dyDescent="0.3">
      <c r="A72" s="937"/>
      <c r="B72" s="938"/>
      <c r="C72" s="938"/>
      <c r="D72" s="1629"/>
      <c r="E72" s="1624"/>
      <c r="F72" s="1624"/>
      <c r="G72" s="1624"/>
      <c r="H72" s="1624"/>
      <c r="I72" s="1624"/>
      <c r="J72" s="1624"/>
      <c r="K72" s="1643"/>
      <c r="L72" s="1643"/>
      <c r="M72" s="1634"/>
      <c r="N72" s="1644"/>
      <c r="O72" s="1624"/>
      <c r="P72" s="934"/>
      <c r="Q72" s="934"/>
      <c r="R72" s="939"/>
      <c r="S72" s="939"/>
      <c r="T72" s="939"/>
      <c r="U72" s="939"/>
      <c r="V72" s="939"/>
    </row>
    <row r="73" spans="1:22" ht="15" thickTop="1" thickBot="1" x14ac:dyDescent="0.3">
      <c r="A73" s="937"/>
      <c r="B73" s="938"/>
      <c r="C73" s="938"/>
      <c r="D73" s="938"/>
      <c r="E73" s="1624"/>
      <c r="F73" s="1624"/>
      <c r="G73" s="1624"/>
      <c r="H73" s="1624"/>
      <c r="I73" s="1624"/>
      <c r="J73" s="1624"/>
      <c r="K73" s="1643"/>
      <c r="L73" s="1643"/>
      <c r="M73" s="1634"/>
      <c r="N73" s="1644"/>
      <c r="O73" s="1624"/>
      <c r="P73" s="934"/>
      <c r="Q73" s="934"/>
      <c r="R73" s="939"/>
      <c r="S73" s="939"/>
      <c r="T73" s="939"/>
      <c r="U73" s="939"/>
      <c r="V73" s="939"/>
    </row>
    <row r="74" spans="1:22" ht="15" thickTop="1" thickBot="1" x14ac:dyDescent="0.3">
      <c r="A74" s="937"/>
      <c r="B74" s="938"/>
      <c r="C74" s="938"/>
      <c r="D74" s="1629"/>
      <c r="E74" s="1624"/>
      <c r="F74" s="1624"/>
      <c r="G74" s="1624"/>
      <c r="H74" s="1624"/>
      <c r="I74" s="1624"/>
      <c r="J74" s="1624"/>
      <c r="K74" s="1643"/>
      <c r="L74" s="1643"/>
      <c r="M74" s="1634"/>
      <c r="N74" s="1644"/>
      <c r="O74" s="1624"/>
      <c r="P74" s="934"/>
      <c r="Q74" s="934"/>
      <c r="R74" s="939"/>
      <c r="S74" s="939"/>
      <c r="T74" s="939"/>
      <c r="U74" s="939"/>
      <c r="V74" s="939"/>
    </row>
    <row r="75" spans="1:22" ht="15" thickTop="1" thickBot="1" x14ac:dyDescent="0.3">
      <c r="A75" s="937"/>
      <c r="B75" s="938"/>
      <c r="C75" s="938"/>
      <c r="D75" s="938"/>
      <c r="E75" s="1624"/>
      <c r="F75" s="1624"/>
      <c r="G75" s="1624"/>
      <c r="H75" s="1624"/>
      <c r="I75" s="1624"/>
      <c r="J75" s="1624"/>
      <c r="K75" s="1643"/>
      <c r="L75" s="1643"/>
      <c r="M75" s="1634"/>
      <c r="N75" s="1644"/>
      <c r="O75" s="1624"/>
      <c r="P75" s="934"/>
      <c r="Q75" s="934"/>
      <c r="R75" s="939"/>
      <c r="S75" s="939"/>
      <c r="T75" s="939"/>
      <c r="U75" s="939"/>
      <c r="V75" s="939"/>
    </row>
    <row r="76" spans="1:22" ht="15" thickTop="1" thickBot="1" x14ac:dyDescent="0.3">
      <c r="A76" s="937"/>
      <c r="B76" s="938"/>
      <c r="C76" s="938"/>
      <c r="D76" s="1629"/>
      <c r="E76" s="1624"/>
      <c r="F76" s="1624"/>
      <c r="G76" s="1624"/>
      <c r="H76" s="1624"/>
      <c r="I76" s="1624"/>
      <c r="J76" s="1624"/>
      <c r="K76" s="1643"/>
      <c r="L76" s="1643"/>
      <c r="M76" s="1634"/>
      <c r="N76" s="1644"/>
      <c r="O76" s="1624"/>
      <c r="P76" s="934"/>
      <c r="Q76" s="934"/>
      <c r="R76" s="939"/>
      <c r="S76" s="939"/>
      <c r="T76" s="939"/>
      <c r="U76" s="939"/>
      <c r="V76" s="939"/>
    </row>
    <row r="77" spans="1:22" ht="15" thickTop="1" thickBot="1" x14ac:dyDescent="0.3">
      <c r="A77" s="937"/>
      <c r="B77" s="938"/>
      <c r="C77" s="938"/>
      <c r="D77" s="938"/>
      <c r="E77" s="1624"/>
      <c r="F77" s="1624"/>
      <c r="G77" s="1624"/>
      <c r="H77" s="1624"/>
      <c r="I77" s="1624"/>
      <c r="J77" s="1624">
        <f>SUM(I66:I77)</f>
        <v>0</v>
      </c>
      <c r="K77" s="1643">
        <f>$K$2</f>
        <v>1.05</v>
      </c>
      <c r="L77" s="1643">
        <f t="shared" si="14"/>
        <v>0</v>
      </c>
      <c r="M77" s="1634">
        <f t="shared" si="15"/>
        <v>0</v>
      </c>
      <c r="N77" s="1644">
        <f t="shared" si="16"/>
        <v>0</v>
      </c>
      <c r="O77" s="1624" t="s">
        <v>693</v>
      </c>
      <c r="P77" s="934"/>
      <c r="Q77" s="934"/>
      <c r="R77" s="939"/>
      <c r="S77" s="939"/>
      <c r="T77" s="939"/>
      <c r="U77" s="939"/>
      <c r="V77" s="939"/>
    </row>
    <row r="78" spans="1:22" ht="15" thickTop="1" thickBot="1" x14ac:dyDescent="0.3">
      <c r="A78" s="937"/>
      <c r="B78" s="938"/>
      <c r="C78" s="938"/>
      <c r="D78" s="938"/>
      <c r="E78" s="1624"/>
      <c r="F78" s="1624"/>
      <c r="G78" s="1624"/>
      <c r="H78" s="1624"/>
      <c r="I78" s="1624"/>
      <c r="J78" s="1624"/>
      <c r="K78" s="1643"/>
      <c r="L78" s="1643"/>
      <c r="M78" s="1634"/>
      <c r="N78" s="1644"/>
      <c r="O78" s="1624"/>
      <c r="P78" s="934"/>
      <c r="Q78" s="934"/>
      <c r="R78" s="939"/>
      <c r="S78" s="939"/>
      <c r="T78" s="939"/>
      <c r="U78" s="939"/>
      <c r="V78" s="939"/>
    </row>
    <row r="79" spans="1:22" ht="15" thickTop="1" thickBot="1" x14ac:dyDescent="0.3">
      <c r="A79" s="937" t="str">
        <f>concrete!A16</f>
        <v>C2.2</v>
      </c>
      <c r="B79" s="1623" t="str">
        <f>concrete!B16</f>
        <v>In column shaft</v>
      </c>
      <c r="C79" s="938"/>
      <c r="D79" s="938"/>
      <c r="E79" s="1624"/>
      <c r="F79" s="1624"/>
      <c r="G79" s="1624"/>
      <c r="H79" s="1624"/>
      <c r="I79" s="1624"/>
      <c r="J79" s="1624"/>
      <c r="K79" s="1643"/>
      <c r="L79" s="1643"/>
      <c r="M79" s="1634"/>
      <c r="N79" s="1644"/>
      <c r="O79" s="1624"/>
      <c r="P79" s="934"/>
      <c r="Q79" s="934"/>
      <c r="R79" s="939"/>
      <c r="S79" s="939"/>
      <c r="T79" s="939"/>
      <c r="U79" s="939"/>
      <c r="V79" s="939"/>
    </row>
    <row r="80" spans="1:22" ht="15" thickTop="1" thickBot="1" x14ac:dyDescent="0.3">
      <c r="A80" s="937"/>
      <c r="B80" s="938"/>
      <c r="C80" s="938"/>
      <c r="D80" s="938"/>
      <c r="E80" s="1624"/>
      <c r="F80" s="1624"/>
      <c r="G80" s="1624"/>
      <c r="H80" s="1624"/>
      <c r="I80" s="1624"/>
      <c r="J80" s="1624"/>
      <c r="K80" s="1643"/>
      <c r="L80" s="1643"/>
      <c r="M80" s="1634"/>
      <c r="N80" s="1644"/>
      <c r="O80" s="1624"/>
      <c r="P80" s="934"/>
      <c r="Q80" s="934"/>
      <c r="R80" s="939"/>
      <c r="S80" s="939"/>
      <c r="T80" s="939"/>
      <c r="U80" s="939"/>
      <c r="V80" s="939"/>
    </row>
    <row r="81" spans="1:22" ht="15" thickTop="1" thickBot="1" x14ac:dyDescent="0.3">
      <c r="A81" s="937"/>
      <c r="B81" s="938"/>
      <c r="C81" s="938"/>
      <c r="D81" s="938"/>
      <c r="E81" s="1624"/>
      <c r="F81" s="1624"/>
      <c r="G81" s="1624"/>
      <c r="H81" s="1624"/>
      <c r="I81" s="1624"/>
      <c r="J81" s="1624"/>
      <c r="K81" s="1643"/>
      <c r="L81" s="1643"/>
      <c r="M81" s="1634"/>
      <c r="N81" s="1644"/>
      <c r="O81" s="1624"/>
      <c r="P81" s="934"/>
      <c r="Q81" s="934"/>
      <c r="R81" s="939"/>
      <c r="S81" s="939"/>
      <c r="T81" s="939"/>
      <c r="U81" s="939"/>
      <c r="V81" s="939"/>
    </row>
    <row r="82" spans="1:22" ht="15" thickTop="1" thickBot="1" x14ac:dyDescent="0.3">
      <c r="A82" s="937"/>
      <c r="B82" s="938"/>
      <c r="C82" s="938"/>
      <c r="D82" s="938"/>
      <c r="E82" s="1624"/>
      <c r="F82" s="1624"/>
      <c r="G82" s="1624"/>
      <c r="H82" s="1624"/>
      <c r="I82" s="1624"/>
      <c r="J82" s="1624"/>
      <c r="K82" s="1643"/>
      <c r="L82" s="1643"/>
      <c r="M82" s="1634"/>
      <c r="N82" s="1644"/>
      <c r="O82" s="1624"/>
      <c r="P82" s="934"/>
      <c r="Q82" s="934"/>
      <c r="R82" s="939"/>
      <c r="S82" s="939"/>
      <c r="T82" s="939"/>
      <c r="U82" s="939"/>
      <c r="V82" s="939"/>
    </row>
    <row r="83" spans="1:22" ht="15" thickTop="1" thickBot="1" x14ac:dyDescent="0.3">
      <c r="A83" s="937"/>
      <c r="B83" s="938"/>
      <c r="C83" s="938"/>
      <c r="D83" s="938"/>
      <c r="E83" s="1624"/>
      <c r="F83" s="1624"/>
      <c r="G83" s="1624"/>
      <c r="H83" s="1624"/>
      <c r="I83" s="1624"/>
      <c r="J83" s="1624"/>
      <c r="K83" s="1643"/>
      <c r="L83" s="1643"/>
      <c r="M83" s="1634"/>
      <c r="N83" s="1644"/>
      <c r="O83" s="1624"/>
      <c r="P83" s="934"/>
      <c r="Q83" s="934"/>
      <c r="R83" s="939"/>
      <c r="S83" s="939"/>
      <c r="T83" s="939"/>
      <c r="U83" s="939"/>
      <c r="V83" s="939"/>
    </row>
    <row r="84" spans="1:22" ht="15" thickTop="1" thickBot="1" x14ac:dyDescent="0.3">
      <c r="A84" s="937"/>
      <c r="B84" s="938"/>
      <c r="C84" s="938"/>
      <c r="D84" s="938"/>
      <c r="E84" s="1624"/>
      <c r="F84" s="1624"/>
      <c r="G84" s="1624"/>
      <c r="H84" s="1624"/>
      <c r="I84" s="1624"/>
      <c r="J84" s="1624"/>
      <c r="K84" s="1643"/>
      <c r="L84" s="1643"/>
      <c r="M84" s="1634"/>
      <c r="N84" s="1644"/>
      <c r="O84" s="1624"/>
      <c r="P84" s="934"/>
      <c r="Q84" s="934"/>
      <c r="R84" s="939"/>
      <c r="S84" s="939"/>
      <c r="T84" s="939"/>
      <c r="U84" s="939"/>
      <c r="V84" s="939"/>
    </row>
    <row r="85" spans="1:22" ht="15" thickTop="1" thickBot="1" x14ac:dyDescent="0.3">
      <c r="A85" s="937"/>
      <c r="B85" s="938"/>
      <c r="C85" s="938"/>
      <c r="D85" s="938"/>
      <c r="E85" s="1624"/>
      <c r="F85" s="1624"/>
      <c r="G85" s="1624"/>
      <c r="H85" s="1624"/>
      <c r="I85" s="1624"/>
      <c r="J85" s="1624"/>
      <c r="K85" s="1643"/>
      <c r="L85" s="1643"/>
      <c r="M85" s="1634"/>
      <c r="N85" s="1644"/>
      <c r="O85" s="1624"/>
      <c r="P85" s="934"/>
      <c r="Q85" s="934"/>
      <c r="R85" s="939"/>
      <c r="S85" s="939"/>
      <c r="T85" s="939"/>
      <c r="U85" s="939"/>
      <c r="V85" s="939"/>
    </row>
    <row r="86" spans="1:22" ht="15" thickTop="1" thickBot="1" x14ac:dyDescent="0.3">
      <c r="A86" s="937"/>
      <c r="B86" s="938"/>
      <c r="C86" s="938"/>
      <c r="D86" s="938"/>
      <c r="E86" s="1624"/>
      <c r="F86" s="1624"/>
      <c r="G86" s="1624"/>
      <c r="H86" s="1624"/>
      <c r="I86" s="1624"/>
      <c r="J86" s="1624"/>
      <c r="K86" s="1643"/>
      <c r="L86" s="1643"/>
      <c r="M86" s="1634"/>
      <c r="N86" s="1644"/>
      <c r="O86" s="1624"/>
      <c r="P86" s="934"/>
      <c r="Q86" s="934"/>
      <c r="R86" s="939"/>
      <c r="S86" s="939"/>
      <c r="T86" s="939"/>
      <c r="U86" s="939"/>
      <c r="V86" s="939"/>
    </row>
    <row r="87" spans="1:22" ht="15" thickTop="1" thickBot="1" x14ac:dyDescent="0.3">
      <c r="A87" s="937"/>
      <c r="B87" s="938"/>
      <c r="C87" s="938"/>
      <c r="D87" s="938"/>
      <c r="E87" s="1624"/>
      <c r="F87" s="1624"/>
      <c r="G87" s="1624"/>
      <c r="H87" s="1624"/>
      <c r="I87" s="1624"/>
      <c r="J87" s="1624"/>
      <c r="K87" s="1643"/>
      <c r="L87" s="1643"/>
      <c r="M87" s="1634"/>
      <c r="N87" s="1644"/>
      <c r="O87" s="1624"/>
      <c r="P87" s="934"/>
      <c r="Q87" s="934"/>
      <c r="R87" s="939"/>
      <c r="S87" s="939"/>
      <c r="T87" s="939"/>
      <c r="U87" s="939"/>
      <c r="V87" s="939"/>
    </row>
    <row r="88" spans="1:22" ht="15" thickTop="1" thickBot="1" x14ac:dyDescent="0.3">
      <c r="A88" s="937"/>
      <c r="B88" s="938"/>
      <c r="C88" s="938"/>
      <c r="D88" s="938"/>
      <c r="E88" s="1624"/>
      <c r="F88" s="1624"/>
      <c r="G88" s="1624"/>
      <c r="H88" s="1624"/>
      <c r="I88" s="1624"/>
      <c r="J88" s="1624"/>
      <c r="K88" s="1643"/>
      <c r="L88" s="1643"/>
      <c r="M88" s="1634"/>
      <c r="N88" s="1644"/>
      <c r="O88" s="1624"/>
      <c r="P88" s="934"/>
      <c r="Q88" s="934"/>
      <c r="R88" s="939"/>
      <c r="S88" s="939"/>
      <c r="T88" s="939"/>
      <c r="U88" s="939"/>
      <c r="V88" s="939"/>
    </row>
    <row r="89" spans="1:22" ht="15" thickTop="1" thickBot="1" x14ac:dyDescent="0.3">
      <c r="A89" s="937"/>
      <c r="B89" s="938"/>
      <c r="C89" s="938"/>
      <c r="D89" s="938"/>
      <c r="E89" s="1624"/>
      <c r="F89" s="1624"/>
      <c r="G89" s="1624"/>
      <c r="H89" s="1624"/>
      <c r="I89" s="1624"/>
      <c r="J89" s="1624"/>
      <c r="K89" s="1643"/>
      <c r="L89" s="1643"/>
      <c r="M89" s="1634"/>
      <c r="N89" s="1644"/>
      <c r="O89" s="1624"/>
      <c r="P89" s="934"/>
      <c r="Q89" s="934"/>
      <c r="R89" s="939"/>
      <c r="S89" s="939"/>
      <c r="T89" s="939"/>
      <c r="U89" s="939"/>
      <c r="V89" s="939"/>
    </row>
    <row r="90" spans="1:22" ht="15" thickTop="1" thickBot="1" x14ac:dyDescent="0.3">
      <c r="A90" s="937"/>
      <c r="B90" s="938"/>
      <c r="C90" s="938"/>
      <c r="D90" s="938"/>
      <c r="E90" s="1624"/>
      <c r="F90" s="1624"/>
      <c r="G90" s="1624"/>
      <c r="H90" s="1624"/>
      <c r="I90" s="1624"/>
      <c r="J90" s="1624"/>
      <c r="K90" s="1643"/>
      <c r="L90" s="1643"/>
      <c r="M90" s="1634"/>
      <c r="N90" s="1644"/>
      <c r="O90" s="1624"/>
      <c r="P90" s="934"/>
      <c r="Q90" s="934"/>
      <c r="R90" s="939"/>
      <c r="S90" s="939"/>
      <c r="T90" s="939"/>
      <c r="U90" s="939"/>
      <c r="V90" s="939"/>
    </row>
    <row r="91" spans="1:22" ht="15" thickTop="1" thickBot="1" x14ac:dyDescent="0.3">
      <c r="A91" s="937"/>
      <c r="B91" s="938"/>
      <c r="C91" s="938"/>
      <c r="D91" s="938"/>
      <c r="E91" s="1624"/>
      <c r="F91" s="1624"/>
      <c r="G91" s="1624"/>
      <c r="H91" s="1624"/>
      <c r="I91" s="1624"/>
      <c r="J91" s="1624"/>
      <c r="K91" s="1643"/>
      <c r="L91" s="1643"/>
      <c r="M91" s="1634"/>
      <c r="N91" s="1644"/>
      <c r="O91" s="1624"/>
      <c r="P91" s="934"/>
      <c r="Q91" s="934"/>
      <c r="R91" s="939"/>
      <c r="S91" s="939"/>
      <c r="T91" s="939"/>
      <c r="U91" s="939"/>
      <c r="V91" s="939"/>
    </row>
    <row r="92" spans="1:22" ht="15" thickTop="1" thickBot="1" x14ac:dyDescent="0.3">
      <c r="A92" s="937"/>
      <c r="B92" s="938"/>
      <c r="C92" s="938"/>
      <c r="D92" s="938"/>
      <c r="E92" s="1624"/>
      <c r="F92" s="1624"/>
      <c r="G92" s="1624"/>
      <c r="H92" s="1624"/>
      <c r="I92" s="1624"/>
      <c r="J92" s="1624"/>
      <c r="K92" s="1643"/>
      <c r="L92" s="1643"/>
      <c r="M92" s="1634"/>
      <c r="N92" s="1644"/>
      <c r="O92" s="1624"/>
      <c r="P92" s="934"/>
      <c r="Q92" s="934"/>
      <c r="R92" s="939"/>
      <c r="S92" s="939"/>
      <c r="T92" s="939"/>
      <c r="U92" s="939"/>
      <c r="V92" s="939"/>
    </row>
    <row r="93" spans="1:22" ht="15" thickTop="1" thickBot="1" x14ac:dyDescent="0.3">
      <c r="A93" s="937"/>
      <c r="B93" s="938"/>
      <c r="C93" s="938"/>
      <c r="D93" s="938"/>
      <c r="E93" s="1624"/>
      <c r="F93" s="1624"/>
      <c r="G93" s="1624"/>
      <c r="H93" s="1624"/>
      <c r="I93" s="1624"/>
      <c r="J93" s="1624"/>
      <c r="K93" s="1643"/>
      <c r="L93" s="1643"/>
      <c r="M93" s="1634"/>
      <c r="N93" s="1644"/>
      <c r="O93" s="1624"/>
      <c r="P93" s="934"/>
      <c r="Q93" s="934"/>
      <c r="R93" s="939"/>
      <c r="S93" s="939"/>
      <c r="T93" s="939"/>
      <c r="U93" s="939"/>
      <c r="V93" s="939"/>
    </row>
    <row r="94" spans="1:22" ht="15" thickTop="1" thickBot="1" x14ac:dyDescent="0.3">
      <c r="A94" s="937"/>
      <c r="B94" s="938"/>
      <c r="C94" s="938"/>
      <c r="D94" s="938"/>
      <c r="E94" s="1624"/>
      <c r="F94" s="1624"/>
      <c r="G94" s="1624"/>
      <c r="H94" s="1624"/>
      <c r="I94" s="1624"/>
      <c r="J94" s="1624"/>
      <c r="K94" s="1643"/>
      <c r="L94" s="1643"/>
      <c r="M94" s="1634"/>
      <c r="N94" s="1644"/>
      <c r="O94" s="1624"/>
      <c r="P94" s="934"/>
      <c r="Q94" s="934"/>
      <c r="R94" s="939"/>
      <c r="S94" s="939"/>
      <c r="T94" s="939"/>
      <c r="U94" s="939"/>
      <c r="V94" s="939"/>
    </row>
    <row r="95" spans="1:22" ht="15" thickTop="1" thickBot="1" x14ac:dyDescent="0.3">
      <c r="A95" s="937"/>
      <c r="B95" s="938"/>
      <c r="C95" s="938"/>
      <c r="D95" s="938"/>
      <c r="E95" s="1624"/>
      <c r="F95" s="1624"/>
      <c r="G95" s="1624"/>
      <c r="H95" s="1624"/>
      <c r="I95" s="1624"/>
      <c r="J95" s="1624"/>
      <c r="K95" s="1643"/>
      <c r="L95" s="1643"/>
      <c r="M95" s="1634"/>
      <c r="N95" s="1644"/>
      <c r="O95" s="1624"/>
      <c r="P95" s="934"/>
      <c r="Q95" s="934"/>
      <c r="R95" s="939"/>
      <c r="S95" s="939"/>
      <c r="T95" s="939"/>
      <c r="U95" s="939"/>
      <c r="V95" s="939"/>
    </row>
    <row r="96" spans="1:22" ht="15" thickTop="1" thickBot="1" x14ac:dyDescent="0.3">
      <c r="A96" s="937"/>
      <c r="B96" s="938"/>
      <c r="C96" s="938"/>
      <c r="D96" s="938"/>
      <c r="E96" s="1624"/>
      <c r="F96" s="1624"/>
      <c r="G96" s="1624"/>
      <c r="H96" s="1624"/>
      <c r="I96" s="1624"/>
      <c r="J96" s="1624">
        <f>SUM(I79:I96)</f>
        <v>0</v>
      </c>
      <c r="K96" s="1643">
        <f>$K$2</f>
        <v>1.05</v>
      </c>
      <c r="L96" s="1643">
        <f t="shared" si="14"/>
        <v>0</v>
      </c>
      <c r="M96" s="1634">
        <f t="shared" si="15"/>
        <v>0</v>
      </c>
      <c r="N96" s="1644">
        <f t="shared" si="16"/>
        <v>0</v>
      </c>
      <c r="O96" s="1624" t="s">
        <v>693</v>
      </c>
      <c r="P96" s="934"/>
      <c r="Q96" s="934"/>
      <c r="R96" s="939"/>
      <c r="S96" s="939"/>
      <c r="T96" s="939"/>
      <c r="U96" s="939"/>
      <c r="V96" s="939"/>
    </row>
    <row r="97" spans="1:22" ht="15" thickTop="1" thickBot="1" x14ac:dyDescent="0.3">
      <c r="A97" s="937"/>
      <c r="B97" s="938"/>
      <c r="C97" s="938"/>
      <c r="D97" s="938"/>
      <c r="E97" s="1624"/>
      <c r="F97" s="1624"/>
      <c r="G97" s="1624"/>
      <c r="H97" s="1624"/>
      <c r="I97" s="1624"/>
      <c r="J97" s="1624"/>
      <c r="K97" s="1643"/>
      <c r="L97" s="1643"/>
      <c r="M97" s="1634"/>
      <c r="N97" s="1644"/>
      <c r="O97" s="1624"/>
      <c r="P97" s="934"/>
      <c r="Q97" s="934"/>
      <c r="R97" s="939"/>
      <c r="S97" s="939"/>
      <c r="T97" s="939"/>
      <c r="U97" s="939"/>
      <c r="V97" s="939"/>
    </row>
    <row r="98" spans="1:22" ht="15" thickTop="1" thickBot="1" x14ac:dyDescent="0.3">
      <c r="A98" s="937" t="str">
        <f>concrete!A17</f>
        <v>C2.3</v>
      </c>
      <c r="B98" s="1623" t="str">
        <f>concrete!B17</f>
        <v>In plinth Beams</v>
      </c>
      <c r="C98" s="938"/>
      <c r="D98" s="938"/>
      <c r="E98" s="1624"/>
      <c r="F98" s="1624"/>
      <c r="G98" s="1624"/>
      <c r="H98" s="1624"/>
      <c r="I98" s="1624"/>
      <c r="J98" s="1624"/>
      <c r="K98" s="1643"/>
      <c r="L98" s="1643"/>
      <c r="M98" s="1634"/>
      <c r="N98" s="1644"/>
      <c r="O98" s="1624"/>
      <c r="P98" s="934"/>
      <c r="Q98" s="934"/>
      <c r="R98" s="939"/>
      <c r="S98" s="939"/>
      <c r="T98" s="939"/>
      <c r="U98" s="939"/>
      <c r="V98" s="939"/>
    </row>
    <row r="99" spans="1:22" ht="15" thickTop="1" thickBot="1" x14ac:dyDescent="0.3">
      <c r="A99" s="937"/>
      <c r="B99" s="938"/>
      <c r="C99" s="938"/>
      <c r="D99" s="938"/>
      <c r="E99" s="1624"/>
      <c r="F99" s="1624"/>
      <c r="G99" s="1624"/>
      <c r="H99" s="1624"/>
      <c r="I99" s="1624"/>
      <c r="J99" s="1624"/>
      <c r="K99" s="1643"/>
      <c r="L99" s="1643"/>
      <c r="M99" s="1634"/>
      <c r="N99" s="1644"/>
      <c r="O99" s="1624"/>
      <c r="P99" s="934"/>
      <c r="Q99" s="934"/>
      <c r="R99" s="939"/>
      <c r="S99" s="939"/>
      <c r="T99" s="939"/>
      <c r="U99" s="939"/>
      <c r="V99" s="939"/>
    </row>
    <row r="100" spans="1:22" ht="15" thickTop="1" thickBot="1" x14ac:dyDescent="0.3">
      <c r="A100" s="937"/>
      <c r="B100" s="938"/>
      <c r="C100" s="938"/>
      <c r="D100" s="938"/>
      <c r="E100" s="1624"/>
      <c r="F100" s="1624"/>
      <c r="G100" s="1624"/>
      <c r="H100" s="1624"/>
      <c r="I100" s="1624"/>
      <c r="J100" s="1624"/>
      <c r="K100" s="1643"/>
      <c r="L100" s="1643"/>
      <c r="M100" s="1634"/>
      <c r="N100" s="1644"/>
      <c r="O100" s="1624"/>
      <c r="P100" s="934"/>
      <c r="Q100" s="934"/>
      <c r="R100" s="939"/>
      <c r="S100" s="939"/>
      <c r="T100" s="939"/>
      <c r="U100" s="939"/>
      <c r="V100" s="939"/>
    </row>
    <row r="101" spans="1:22" ht="15" thickTop="1" thickBot="1" x14ac:dyDescent="0.3">
      <c r="A101" s="937"/>
      <c r="B101" s="938"/>
      <c r="C101" s="938"/>
      <c r="D101" s="938"/>
      <c r="E101" s="1624"/>
      <c r="F101" s="1624"/>
      <c r="G101" s="1624"/>
      <c r="H101" s="1624"/>
      <c r="I101" s="1624"/>
      <c r="J101" s="1624"/>
      <c r="K101" s="1643"/>
      <c r="L101" s="1643"/>
      <c r="M101" s="1634"/>
      <c r="N101" s="1644"/>
      <c r="O101" s="1624"/>
      <c r="P101" s="934"/>
      <c r="Q101" s="934"/>
      <c r="R101" s="939"/>
      <c r="S101" s="939"/>
      <c r="T101" s="939"/>
      <c r="U101" s="939"/>
      <c r="V101" s="939"/>
    </row>
    <row r="102" spans="1:22" ht="15" thickTop="1" thickBot="1" x14ac:dyDescent="0.3">
      <c r="A102" s="937"/>
      <c r="B102" s="938"/>
      <c r="C102" s="938"/>
      <c r="D102" s="938"/>
      <c r="E102" s="1624"/>
      <c r="F102" s="1624"/>
      <c r="G102" s="1624"/>
      <c r="H102" s="1624"/>
      <c r="I102" s="1624"/>
      <c r="J102" s="1624"/>
      <c r="K102" s="1643"/>
      <c r="L102" s="1643"/>
      <c r="M102" s="1634"/>
      <c r="N102" s="1644"/>
      <c r="O102" s="1624"/>
      <c r="P102" s="934"/>
      <c r="Q102" s="934"/>
      <c r="R102" s="939"/>
      <c r="S102" s="939"/>
      <c r="T102" s="939"/>
      <c r="U102" s="939"/>
      <c r="V102" s="939"/>
    </row>
    <row r="103" spans="1:22" ht="15" thickTop="1" thickBot="1" x14ac:dyDescent="0.3">
      <c r="A103" s="937"/>
      <c r="B103" s="938"/>
      <c r="C103" s="938"/>
      <c r="D103" s="938"/>
      <c r="E103" s="1624"/>
      <c r="F103" s="1624"/>
      <c r="G103" s="1624"/>
      <c r="H103" s="1624"/>
      <c r="I103" s="1624"/>
      <c r="J103" s="1624"/>
      <c r="K103" s="1643"/>
      <c r="L103" s="1643"/>
      <c r="M103" s="1634"/>
      <c r="N103" s="1644"/>
      <c r="O103" s="1624"/>
      <c r="P103" s="934"/>
      <c r="Q103" s="934"/>
      <c r="R103" s="939"/>
      <c r="S103" s="939"/>
      <c r="T103" s="939"/>
      <c r="U103" s="939"/>
      <c r="V103" s="939"/>
    </row>
    <row r="104" spans="1:22" ht="15" thickTop="1" thickBot="1" x14ac:dyDescent="0.3">
      <c r="A104" s="937"/>
      <c r="B104" s="938"/>
      <c r="C104" s="938"/>
      <c r="D104" s="938"/>
      <c r="E104" s="1624"/>
      <c r="F104" s="1624"/>
      <c r="G104" s="1624"/>
      <c r="H104" s="1624"/>
      <c r="I104" s="1624"/>
      <c r="J104" s="1624">
        <f>SUM(I98:I104)</f>
        <v>0</v>
      </c>
      <c r="K104" s="1643">
        <f>$K$2</f>
        <v>1.05</v>
      </c>
      <c r="L104" s="1643">
        <f t="shared" ref="L104:L175" si="17">K104*J104</f>
        <v>0</v>
      </c>
      <c r="M104" s="1634">
        <f t="shared" ref="M104:M175" si="18">ROUND(L104,1)</f>
        <v>0</v>
      </c>
      <c r="N104" s="1644">
        <f t="shared" ref="N104:N175" si="19">ROUNDUP(M104,0)</f>
        <v>0</v>
      </c>
      <c r="O104" s="1624" t="s">
        <v>693</v>
      </c>
      <c r="P104" s="934"/>
      <c r="Q104" s="934"/>
      <c r="R104" s="939"/>
      <c r="S104" s="939"/>
      <c r="T104" s="939"/>
      <c r="U104" s="939"/>
      <c r="V104" s="939"/>
    </row>
    <row r="105" spans="1:22" ht="15" thickTop="1" thickBot="1" x14ac:dyDescent="0.3">
      <c r="A105" s="937"/>
      <c r="B105" s="938"/>
      <c r="C105" s="938"/>
      <c r="D105" s="938"/>
      <c r="E105" s="1624"/>
      <c r="F105" s="1624"/>
      <c r="G105" s="1624"/>
      <c r="H105" s="1624"/>
      <c r="I105" s="1624"/>
      <c r="J105" s="1624"/>
      <c r="K105" s="1643"/>
      <c r="L105" s="1643"/>
      <c r="M105" s="1634"/>
      <c r="N105" s="1644"/>
      <c r="O105" s="1624"/>
      <c r="P105" s="934"/>
      <c r="Q105" s="934"/>
      <c r="R105" s="939"/>
      <c r="S105" s="939"/>
      <c r="T105" s="939"/>
      <c r="U105" s="939"/>
      <c r="V105" s="939"/>
    </row>
    <row r="106" spans="1:22" ht="15" thickTop="1" thickBot="1" x14ac:dyDescent="0.3">
      <c r="A106" s="937" t="str">
        <f>concrete!A22</f>
        <v>C3.1</v>
      </c>
      <c r="B106" s="938" t="str">
        <f>concrete!B22</f>
        <v>Ground floor concrete(75mm thick)</v>
      </c>
      <c r="C106" s="938"/>
      <c r="D106" s="938"/>
      <c r="E106" s="1624"/>
      <c r="F106" s="1624"/>
      <c r="G106" s="1624"/>
      <c r="H106" s="1624"/>
      <c r="I106" s="1624"/>
      <c r="J106" s="1624">
        <f>SUM(I106)</f>
        <v>0</v>
      </c>
      <c r="K106" s="1643">
        <f>$K$2</f>
        <v>1.05</v>
      </c>
      <c r="L106" s="1643">
        <f t="shared" ref="L106" si="20">K106*J106</f>
        <v>0</v>
      </c>
      <c r="M106" s="1634">
        <f t="shared" ref="M106" si="21">ROUND(L106,1)</f>
        <v>0</v>
      </c>
      <c r="N106" s="1644">
        <f t="shared" ref="N106" si="22">ROUNDUP(M106,0)</f>
        <v>0</v>
      </c>
      <c r="O106" s="1624" t="s">
        <v>693</v>
      </c>
      <c r="P106" s="934"/>
      <c r="Q106" s="934"/>
      <c r="R106" s="939"/>
      <c r="S106" s="939"/>
      <c r="T106" s="939"/>
      <c r="U106" s="939"/>
      <c r="V106" s="939"/>
    </row>
    <row r="107" spans="1:22" ht="15" thickTop="1" thickBot="1" x14ac:dyDescent="0.3">
      <c r="A107" s="937"/>
      <c r="B107" s="938"/>
      <c r="C107" s="938"/>
      <c r="D107" s="938"/>
      <c r="E107" s="1624"/>
      <c r="F107" s="1624"/>
      <c r="G107" s="1624"/>
      <c r="H107" s="1624"/>
      <c r="I107" s="1624"/>
      <c r="J107" s="1624"/>
      <c r="K107" s="1643"/>
      <c r="L107" s="1643"/>
      <c r="M107" s="1634"/>
      <c r="N107" s="1644"/>
      <c r="O107" s="1624"/>
      <c r="P107" s="934"/>
      <c r="Q107" s="934"/>
      <c r="R107" s="939"/>
      <c r="S107" s="939"/>
      <c r="T107" s="939"/>
      <c r="U107" s="939"/>
      <c r="V107" s="939"/>
    </row>
    <row r="108" spans="1:22" s="1628" customFormat="1" ht="28.8" thickTop="1" thickBot="1" x14ac:dyDescent="0.3">
      <c r="A108" s="1625" t="str">
        <f>concrete!A34</f>
        <v>C4.1</v>
      </c>
      <c r="B108" s="1630" t="str">
        <f>concrete!B34</f>
        <v>In column shaft from ground floor level to First floor level</v>
      </c>
      <c r="C108" s="1629"/>
      <c r="D108" s="938"/>
      <c r="E108" s="1624"/>
      <c r="F108" s="1624"/>
      <c r="G108" s="1624"/>
      <c r="H108" s="1624"/>
      <c r="I108" s="1624"/>
      <c r="J108" s="1624"/>
      <c r="K108" s="1643"/>
      <c r="L108" s="1643"/>
      <c r="M108" s="1634"/>
      <c r="N108" s="1644"/>
      <c r="O108" s="1624"/>
      <c r="P108" s="1627"/>
      <c r="Q108" s="1627"/>
      <c r="R108" s="1631"/>
      <c r="S108" s="1631"/>
      <c r="T108" s="1631"/>
      <c r="U108" s="1631"/>
      <c r="V108" s="1631"/>
    </row>
    <row r="109" spans="1:22" s="1628" customFormat="1" ht="15" thickTop="1" thickBot="1" x14ac:dyDescent="0.3">
      <c r="A109" s="1625"/>
      <c r="B109" s="1630"/>
      <c r="C109" s="1629"/>
      <c r="D109" s="938"/>
      <c r="E109" s="1624"/>
      <c r="F109" s="1624"/>
      <c r="G109" s="1624"/>
      <c r="H109" s="1624"/>
      <c r="I109" s="1624"/>
      <c r="J109" s="1624"/>
      <c r="K109" s="1643"/>
      <c r="L109" s="1643"/>
      <c r="M109" s="1634"/>
      <c r="N109" s="1644"/>
      <c r="O109" s="1624"/>
      <c r="P109" s="1627"/>
      <c r="Q109" s="1627"/>
      <c r="R109" s="1631"/>
      <c r="S109" s="1631"/>
      <c r="T109" s="1631"/>
      <c r="U109" s="1631"/>
      <c r="V109" s="1631"/>
    </row>
    <row r="110" spans="1:22" s="1628" customFormat="1" ht="15" thickTop="1" thickBot="1" x14ac:dyDescent="0.3">
      <c r="A110" s="1625"/>
      <c r="B110" s="1630"/>
      <c r="C110" s="1629"/>
      <c r="D110" s="938"/>
      <c r="E110" s="1624"/>
      <c r="F110" s="1624"/>
      <c r="G110" s="1624"/>
      <c r="H110" s="1624"/>
      <c r="I110" s="1624"/>
      <c r="J110" s="1624"/>
      <c r="K110" s="1643"/>
      <c r="L110" s="1643"/>
      <c r="M110" s="1634"/>
      <c r="N110" s="1644"/>
      <c r="O110" s="1624"/>
      <c r="P110" s="1627"/>
      <c r="Q110" s="1627"/>
      <c r="R110" s="1631"/>
      <c r="S110" s="1631"/>
      <c r="T110" s="1631"/>
      <c r="U110" s="1631"/>
      <c r="V110" s="1631"/>
    </row>
    <row r="111" spans="1:22" s="1628" customFormat="1" ht="15" thickTop="1" thickBot="1" x14ac:dyDescent="0.3">
      <c r="A111" s="1625"/>
      <c r="B111" s="1630"/>
      <c r="C111" s="1629"/>
      <c r="D111" s="938"/>
      <c r="E111" s="1624"/>
      <c r="F111" s="1624"/>
      <c r="G111" s="1624"/>
      <c r="H111" s="1624"/>
      <c r="I111" s="1624"/>
      <c r="J111" s="1624"/>
      <c r="K111" s="1643"/>
      <c r="L111" s="1643"/>
      <c r="M111" s="1634"/>
      <c r="N111" s="1644"/>
      <c r="O111" s="1624"/>
      <c r="P111" s="1627"/>
      <c r="Q111" s="1627"/>
      <c r="R111" s="1631"/>
      <c r="S111" s="1631"/>
      <c r="T111" s="1631"/>
      <c r="U111" s="1631"/>
      <c r="V111" s="1631"/>
    </row>
    <row r="112" spans="1:22" s="1628" customFormat="1" ht="15" thickTop="1" thickBot="1" x14ac:dyDescent="0.3">
      <c r="A112" s="1625"/>
      <c r="B112" s="1630"/>
      <c r="C112" s="1629"/>
      <c r="D112" s="938"/>
      <c r="E112" s="1624"/>
      <c r="F112" s="1624"/>
      <c r="G112" s="1624"/>
      <c r="H112" s="1624"/>
      <c r="I112" s="1624"/>
      <c r="J112" s="1624"/>
      <c r="K112" s="1643"/>
      <c r="L112" s="1643"/>
      <c r="M112" s="1634"/>
      <c r="N112" s="1644"/>
      <c r="O112" s="1624"/>
      <c r="P112" s="1627"/>
      <c r="Q112" s="1627"/>
      <c r="R112" s="1631"/>
      <c r="S112" s="1631"/>
      <c r="T112" s="1631"/>
      <c r="U112" s="1631"/>
      <c r="V112" s="1631"/>
    </row>
    <row r="113" spans="1:22" s="1628" customFormat="1" ht="15" thickTop="1" thickBot="1" x14ac:dyDescent="0.3">
      <c r="A113" s="1625"/>
      <c r="B113" s="1630"/>
      <c r="C113" s="1629"/>
      <c r="D113" s="938"/>
      <c r="E113" s="1624"/>
      <c r="F113" s="1624"/>
      <c r="G113" s="1624"/>
      <c r="H113" s="1624"/>
      <c r="I113" s="1624"/>
      <c r="J113" s="1624"/>
      <c r="K113" s="1643"/>
      <c r="L113" s="1643"/>
      <c r="M113" s="1634"/>
      <c r="N113" s="1644"/>
      <c r="O113" s="1624"/>
      <c r="P113" s="1627"/>
      <c r="Q113" s="1627"/>
      <c r="R113" s="1631"/>
      <c r="S113" s="1631"/>
      <c r="T113" s="1631"/>
      <c r="U113" s="1631"/>
      <c r="V113" s="1631"/>
    </row>
    <row r="114" spans="1:22" s="1628" customFormat="1" ht="15" thickTop="1" thickBot="1" x14ac:dyDescent="0.3">
      <c r="A114" s="1625"/>
      <c r="B114" s="1630"/>
      <c r="C114" s="1629"/>
      <c r="D114" s="938"/>
      <c r="E114" s="1624"/>
      <c r="F114" s="1624"/>
      <c r="G114" s="1624"/>
      <c r="H114" s="1624"/>
      <c r="I114" s="1624"/>
      <c r="J114" s="1624"/>
      <c r="K114" s="1643"/>
      <c r="L114" s="1643"/>
      <c r="M114" s="1634"/>
      <c r="N114" s="1644"/>
      <c r="O114" s="1624"/>
      <c r="P114" s="1627"/>
      <c r="Q114" s="1627"/>
      <c r="R114" s="1631"/>
      <c r="S114" s="1631"/>
      <c r="T114" s="1631"/>
      <c r="U114" s="1631"/>
      <c r="V114" s="1631"/>
    </row>
    <row r="115" spans="1:22" s="1628" customFormat="1" ht="15" thickTop="1" thickBot="1" x14ac:dyDescent="0.3">
      <c r="A115" s="1625"/>
      <c r="B115" s="1630"/>
      <c r="C115" s="1629"/>
      <c r="D115" s="938"/>
      <c r="E115" s="1624"/>
      <c r="F115" s="1624"/>
      <c r="G115" s="1624"/>
      <c r="H115" s="1624"/>
      <c r="I115" s="1624"/>
      <c r="J115" s="1624"/>
      <c r="K115" s="1643"/>
      <c r="L115" s="1643"/>
      <c r="M115" s="1634"/>
      <c r="N115" s="1644"/>
      <c r="O115" s="1624"/>
      <c r="P115" s="1627"/>
      <c r="Q115" s="1627"/>
      <c r="R115" s="1631"/>
      <c r="S115" s="1631"/>
      <c r="T115" s="1631"/>
      <c r="U115" s="1631"/>
      <c r="V115" s="1631"/>
    </row>
    <row r="116" spans="1:22" s="1628" customFormat="1" ht="15" thickTop="1" thickBot="1" x14ac:dyDescent="0.3">
      <c r="A116" s="1625"/>
      <c r="B116" s="1630"/>
      <c r="C116" s="1629"/>
      <c r="D116" s="938"/>
      <c r="E116" s="1624"/>
      <c r="F116" s="1624"/>
      <c r="G116" s="1624"/>
      <c r="H116" s="1624"/>
      <c r="I116" s="1624"/>
      <c r="J116" s="1624"/>
      <c r="K116" s="1643"/>
      <c r="L116" s="1643"/>
      <c r="M116" s="1634"/>
      <c r="N116" s="1644"/>
      <c r="O116" s="1624"/>
      <c r="P116" s="1627"/>
      <c r="Q116" s="1627"/>
      <c r="R116" s="1631"/>
      <c r="S116" s="1631"/>
      <c r="T116" s="1631"/>
      <c r="U116" s="1631"/>
      <c r="V116" s="1631"/>
    </row>
    <row r="117" spans="1:22" s="1628" customFormat="1" ht="15" thickTop="1" thickBot="1" x14ac:dyDescent="0.3">
      <c r="A117" s="1625"/>
      <c r="B117" s="1630"/>
      <c r="C117" s="1629"/>
      <c r="D117" s="938"/>
      <c r="E117" s="1624"/>
      <c r="F117" s="1624"/>
      <c r="G117" s="1624"/>
      <c r="H117" s="1624"/>
      <c r="I117" s="1624"/>
      <c r="J117" s="1624"/>
      <c r="K117" s="1643"/>
      <c r="L117" s="1643"/>
      <c r="M117" s="1634"/>
      <c r="N117" s="1644"/>
      <c r="O117" s="1624"/>
      <c r="P117" s="1627"/>
      <c r="Q117" s="1627"/>
      <c r="R117" s="1631"/>
      <c r="S117" s="1631"/>
      <c r="T117" s="1631"/>
      <c r="U117" s="1631"/>
      <c r="V117" s="1631"/>
    </row>
    <row r="118" spans="1:22" s="1628" customFormat="1" ht="15" thickTop="1" thickBot="1" x14ac:dyDescent="0.3">
      <c r="A118" s="1625"/>
      <c r="B118" s="1630"/>
      <c r="C118" s="1629"/>
      <c r="D118" s="938"/>
      <c r="E118" s="1624"/>
      <c r="F118" s="1624"/>
      <c r="G118" s="1624"/>
      <c r="H118" s="1624"/>
      <c r="I118" s="1624"/>
      <c r="J118" s="1624"/>
      <c r="K118" s="1643"/>
      <c r="L118" s="1643"/>
      <c r="M118" s="1634"/>
      <c r="N118" s="1644"/>
      <c r="O118" s="1624"/>
      <c r="P118" s="1627"/>
      <c r="Q118" s="1627"/>
      <c r="R118" s="1631"/>
      <c r="S118" s="1631"/>
      <c r="T118" s="1631"/>
      <c r="U118" s="1631"/>
      <c r="V118" s="1631"/>
    </row>
    <row r="119" spans="1:22" s="1628" customFormat="1" ht="15" thickTop="1" thickBot="1" x14ac:dyDescent="0.3">
      <c r="A119" s="1625"/>
      <c r="B119" s="1630"/>
      <c r="C119" s="1629"/>
      <c r="D119" s="938"/>
      <c r="E119" s="1624"/>
      <c r="F119" s="1624"/>
      <c r="G119" s="1624"/>
      <c r="H119" s="1624"/>
      <c r="I119" s="1624"/>
      <c r="J119" s="1624"/>
      <c r="K119" s="1643"/>
      <c r="L119" s="1643"/>
      <c r="M119" s="1634"/>
      <c r="N119" s="1644"/>
      <c r="O119" s="1624"/>
      <c r="P119" s="1627"/>
      <c r="Q119" s="1627"/>
      <c r="R119" s="1631"/>
      <c r="S119" s="1631"/>
      <c r="T119" s="1631"/>
      <c r="U119" s="1631"/>
      <c r="V119" s="1631"/>
    </row>
    <row r="120" spans="1:22" s="1628" customFormat="1" ht="15" thickTop="1" thickBot="1" x14ac:dyDescent="0.3">
      <c r="A120" s="1625"/>
      <c r="B120" s="1630"/>
      <c r="C120" s="1629"/>
      <c r="D120" s="938"/>
      <c r="E120" s="1624"/>
      <c r="F120" s="1624"/>
      <c r="G120" s="1624"/>
      <c r="H120" s="1624"/>
      <c r="I120" s="1624"/>
      <c r="J120" s="1624"/>
      <c r="K120" s="1643"/>
      <c r="L120" s="1643"/>
      <c r="M120" s="1634"/>
      <c r="N120" s="1644"/>
      <c r="O120" s="1624"/>
      <c r="P120" s="1627"/>
      <c r="Q120" s="1627"/>
      <c r="R120" s="1631"/>
      <c r="S120" s="1631"/>
      <c r="T120" s="1631"/>
      <c r="U120" s="1631"/>
      <c r="V120" s="1631"/>
    </row>
    <row r="121" spans="1:22" s="1628" customFormat="1" ht="15" thickTop="1" thickBot="1" x14ac:dyDescent="0.3">
      <c r="A121" s="1625"/>
      <c r="B121" s="1630"/>
      <c r="C121" s="1629"/>
      <c r="D121" s="938"/>
      <c r="E121" s="1624"/>
      <c r="F121" s="1624"/>
      <c r="G121" s="1624"/>
      <c r="H121" s="1624"/>
      <c r="I121" s="1624"/>
      <c r="J121" s="1624"/>
      <c r="K121" s="1643"/>
      <c r="L121" s="1643"/>
      <c r="M121" s="1634"/>
      <c r="N121" s="1644"/>
      <c r="O121" s="1624"/>
      <c r="P121" s="1627"/>
      <c r="Q121" s="1627"/>
      <c r="R121" s="1631"/>
      <c r="S121" s="1631"/>
      <c r="T121" s="1631"/>
      <c r="U121" s="1631"/>
      <c r="V121" s="1631"/>
    </row>
    <row r="122" spans="1:22" s="1628" customFormat="1" ht="15" thickTop="1" thickBot="1" x14ac:dyDescent="0.3">
      <c r="A122" s="1625"/>
      <c r="B122" s="1630"/>
      <c r="C122" s="1629"/>
      <c r="D122" s="938"/>
      <c r="E122" s="1624"/>
      <c r="F122" s="1624"/>
      <c r="G122" s="1624"/>
      <c r="H122" s="1624"/>
      <c r="I122" s="1624"/>
      <c r="J122" s="1624"/>
      <c r="K122" s="1643"/>
      <c r="L122" s="1643"/>
      <c r="M122" s="1634"/>
      <c r="N122" s="1644"/>
      <c r="O122" s="1624"/>
      <c r="P122" s="1627"/>
      <c r="Q122" s="1627"/>
      <c r="R122" s="1631"/>
      <c r="S122" s="1631"/>
      <c r="T122" s="1631"/>
      <c r="U122" s="1631"/>
      <c r="V122" s="1631"/>
    </row>
    <row r="123" spans="1:22" s="1628" customFormat="1" ht="15" thickTop="1" thickBot="1" x14ac:dyDescent="0.3">
      <c r="A123" s="1625"/>
      <c r="B123" s="1630"/>
      <c r="C123" s="1629"/>
      <c r="D123" s="938"/>
      <c r="E123" s="1624"/>
      <c r="F123" s="1624"/>
      <c r="G123" s="1624"/>
      <c r="H123" s="1624"/>
      <c r="I123" s="1624"/>
      <c r="J123" s="1624"/>
      <c r="K123" s="1643"/>
      <c r="L123" s="1643"/>
      <c r="M123" s="1634"/>
      <c r="N123" s="1644"/>
      <c r="O123" s="1624"/>
      <c r="P123" s="1627"/>
      <c r="Q123" s="1627"/>
      <c r="R123" s="1631"/>
      <c r="S123" s="1631"/>
      <c r="T123" s="1631"/>
      <c r="U123" s="1631"/>
      <c r="V123" s="1631"/>
    </row>
    <row r="124" spans="1:22" s="1628" customFormat="1" ht="15" thickTop="1" thickBot="1" x14ac:dyDescent="0.3">
      <c r="A124" s="1625"/>
      <c r="B124" s="1630"/>
      <c r="C124" s="1629"/>
      <c r="D124" s="938"/>
      <c r="E124" s="1624"/>
      <c r="F124" s="1624"/>
      <c r="G124" s="1624"/>
      <c r="H124" s="1624"/>
      <c r="I124" s="1624"/>
      <c r="J124" s="1624"/>
      <c r="K124" s="1643"/>
      <c r="L124" s="1643"/>
      <c r="M124" s="1634"/>
      <c r="N124" s="1644"/>
      <c r="O124" s="1624"/>
      <c r="P124" s="1627"/>
      <c r="Q124" s="1627"/>
      <c r="R124" s="1631"/>
      <c r="S124" s="1631"/>
      <c r="T124" s="1631"/>
      <c r="U124" s="1631"/>
      <c r="V124" s="1631"/>
    </row>
    <row r="125" spans="1:22" s="1628" customFormat="1" ht="15" thickTop="1" thickBot="1" x14ac:dyDescent="0.3">
      <c r="A125" s="1625"/>
      <c r="B125" s="1630"/>
      <c r="C125" s="1629"/>
      <c r="D125" s="938"/>
      <c r="E125" s="1624"/>
      <c r="F125" s="1624"/>
      <c r="G125" s="1624"/>
      <c r="H125" s="1624"/>
      <c r="I125" s="1624"/>
      <c r="J125" s="1624">
        <f>SUM(I108:I125)</f>
        <v>0</v>
      </c>
      <c r="K125" s="1643">
        <f>$K$2</f>
        <v>1.05</v>
      </c>
      <c r="L125" s="1643">
        <f t="shared" ref="L125" si="23">K125*J125</f>
        <v>0</v>
      </c>
      <c r="M125" s="1634">
        <f t="shared" ref="M125" si="24">ROUND(L125,1)</f>
        <v>0</v>
      </c>
      <c r="N125" s="1644">
        <f t="shared" ref="N125" si="25">ROUNDUP(M125,0)</f>
        <v>0</v>
      </c>
      <c r="O125" s="1624" t="s">
        <v>693</v>
      </c>
      <c r="P125" s="1627"/>
      <c r="Q125" s="1627"/>
      <c r="R125" s="1631"/>
      <c r="S125" s="1631"/>
      <c r="T125" s="1631"/>
      <c r="U125" s="1631"/>
      <c r="V125" s="1631"/>
    </row>
    <row r="126" spans="1:22" ht="15" thickTop="1" thickBot="1" x14ac:dyDescent="0.3">
      <c r="A126" s="937"/>
      <c r="B126" s="938"/>
      <c r="C126" s="938"/>
      <c r="D126" s="938"/>
      <c r="E126" s="1624"/>
      <c r="F126" s="1624"/>
      <c r="G126" s="1624"/>
      <c r="H126" s="1624"/>
      <c r="I126" s="1624"/>
      <c r="J126" s="1624"/>
      <c r="K126" s="1643"/>
      <c r="L126" s="1643"/>
      <c r="M126" s="1634"/>
      <c r="N126" s="1644"/>
      <c r="O126" s="1624"/>
      <c r="P126" s="934"/>
      <c r="Q126" s="934"/>
      <c r="R126" s="939"/>
      <c r="S126" s="939"/>
      <c r="T126" s="939"/>
      <c r="U126" s="939"/>
      <c r="V126" s="939"/>
    </row>
    <row r="127" spans="1:22" ht="15" thickTop="1" thickBot="1" x14ac:dyDescent="0.3">
      <c r="A127" s="937" t="str">
        <f>concrete!A47</f>
        <v>C5.1</v>
      </c>
      <c r="B127" s="1623" t="str">
        <f>concrete!B47</f>
        <v>In Reinforced beam at First floor level</v>
      </c>
      <c r="C127" s="938"/>
      <c r="D127" s="938" t="s">
        <v>1882</v>
      </c>
      <c r="E127" s="1624">
        <v>1</v>
      </c>
      <c r="F127" s="1624">
        <v>13.2</v>
      </c>
      <c r="G127" s="1624">
        <v>0.22500000000000001</v>
      </c>
      <c r="H127" s="1624">
        <v>0.45</v>
      </c>
      <c r="I127" s="1624">
        <f>H127*G127*F127*E127</f>
        <v>1.3365</v>
      </c>
      <c r="J127" s="1624"/>
      <c r="K127" s="1643"/>
      <c r="L127" s="1643">
        <f t="shared" ref="L127:L130" si="26">K127*J127</f>
        <v>0</v>
      </c>
      <c r="M127" s="1634">
        <f t="shared" ref="M127:M130" si="27">ROUND(L127,1)</f>
        <v>0</v>
      </c>
      <c r="N127" s="1644">
        <f t="shared" ref="N127:N130" si="28">ROUNDUP(M127,0)</f>
        <v>0</v>
      </c>
      <c r="O127" s="1624"/>
      <c r="P127" s="934"/>
      <c r="Q127" s="934"/>
      <c r="R127" s="939"/>
      <c r="S127" s="939"/>
      <c r="T127" s="939"/>
      <c r="U127" s="939"/>
      <c r="V127" s="939"/>
    </row>
    <row r="128" spans="1:22" ht="15" thickTop="1" thickBot="1" x14ac:dyDescent="0.3">
      <c r="A128" s="937"/>
      <c r="B128" s="938"/>
      <c r="C128" s="938"/>
      <c r="D128" s="938" t="s">
        <v>1881</v>
      </c>
      <c r="E128" s="1624">
        <v>1</v>
      </c>
      <c r="F128" s="1624">
        <v>10.5</v>
      </c>
      <c r="G128" s="1624">
        <v>0.22500000000000001</v>
      </c>
      <c r="H128" s="1624">
        <v>0.45</v>
      </c>
      <c r="I128" s="1624">
        <f t="shared" ref="I128:I169" si="29">H128*G128*F128*E128</f>
        <v>1.0631250000000001</v>
      </c>
      <c r="J128" s="1624"/>
      <c r="K128" s="1643"/>
      <c r="L128" s="1643">
        <f t="shared" si="26"/>
        <v>0</v>
      </c>
      <c r="M128" s="1634">
        <f t="shared" si="27"/>
        <v>0</v>
      </c>
      <c r="N128" s="1644">
        <f t="shared" si="28"/>
        <v>0</v>
      </c>
      <c r="O128" s="1624"/>
      <c r="P128" s="934"/>
      <c r="Q128" s="934"/>
      <c r="R128" s="939"/>
      <c r="S128" s="939"/>
      <c r="T128" s="939"/>
      <c r="U128" s="939"/>
      <c r="V128" s="939"/>
    </row>
    <row r="129" spans="1:22" ht="15" thickTop="1" thickBot="1" x14ac:dyDescent="0.3">
      <c r="A129" s="937"/>
      <c r="B129" s="938"/>
      <c r="C129" s="938"/>
      <c r="D129" s="938" t="s">
        <v>1883</v>
      </c>
      <c r="E129" s="1624">
        <v>1</v>
      </c>
      <c r="F129" s="1624">
        <v>6.15</v>
      </c>
      <c r="G129" s="1624">
        <v>0.22500000000000001</v>
      </c>
      <c r="H129" s="1624">
        <v>0.6</v>
      </c>
      <c r="I129" s="1624">
        <f t="shared" si="29"/>
        <v>0.83025000000000015</v>
      </c>
      <c r="J129" s="1624"/>
      <c r="K129" s="1643"/>
      <c r="L129" s="1643">
        <f t="shared" si="26"/>
        <v>0</v>
      </c>
      <c r="M129" s="1634">
        <f t="shared" si="27"/>
        <v>0</v>
      </c>
      <c r="N129" s="1644">
        <f t="shared" si="28"/>
        <v>0</v>
      </c>
      <c r="O129" s="1624"/>
      <c r="P129" s="934"/>
      <c r="Q129" s="934"/>
      <c r="R129" s="939"/>
      <c r="S129" s="939"/>
      <c r="T129" s="939"/>
      <c r="U129" s="939"/>
      <c r="V129" s="939"/>
    </row>
    <row r="130" spans="1:22" ht="15" thickTop="1" thickBot="1" x14ac:dyDescent="0.3">
      <c r="A130" s="937"/>
      <c r="B130" s="938"/>
      <c r="C130" s="938"/>
      <c r="D130" s="938" t="s">
        <v>1884</v>
      </c>
      <c r="E130" s="1624">
        <v>1</v>
      </c>
      <c r="F130" s="1624">
        <v>12.95</v>
      </c>
      <c r="G130" s="1624">
        <v>0.22500000000000001</v>
      </c>
      <c r="H130" s="1624">
        <v>0.6</v>
      </c>
      <c r="I130" s="1624">
        <f t="shared" si="29"/>
        <v>1.7482500000000001</v>
      </c>
      <c r="J130" s="1624"/>
      <c r="K130" s="1643"/>
      <c r="L130" s="1643">
        <f t="shared" si="26"/>
        <v>0</v>
      </c>
      <c r="M130" s="1634">
        <f t="shared" si="27"/>
        <v>0</v>
      </c>
      <c r="N130" s="1644">
        <f t="shared" si="28"/>
        <v>0</v>
      </c>
      <c r="O130" s="1624"/>
      <c r="P130" s="934"/>
      <c r="Q130" s="934"/>
      <c r="R130" s="939"/>
      <c r="S130" s="939"/>
      <c r="T130" s="939"/>
      <c r="U130" s="939"/>
      <c r="V130" s="939"/>
    </row>
    <row r="131" spans="1:22" ht="15" thickTop="1" thickBot="1" x14ac:dyDescent="0.3">
      <c r="A131" s="937"/>
      <c r="B131" s="938"/>
      <c r="C131" s="938"/>
      <c r="D131" s="938" t="s">
        <v>1885</v>
      </c>
      <c r="E131" s="1624">
        <v>1</v>
      </c>
      <c r="F131" s="1624">
        <v>3.88</v>
      </c>
      <c r="G131" s="1624">
        <v>0.22500000000000001</v>
      </c>
      <c r="H131" s="1624">
        <v>0.45</v>
      </c>
      <c r="I131" s="1624">
        <f t="shared" si="29"/>
        <v>0.39285000000000003</v>
      </c>
      <c r="J131" s="1624"/>
      <c r="K131" s="1643"/>
      <c r="L131" s="1643">
        <f t="shared" ref="L131:L135" si="30">K131*J131</f>
        <v>0</v>
      </c>
      <c r="M131" s="1634">
        <f t="shared" ref="M131:M135" si="31">ROUND(L131,1)</f>
        <v>0</v>
      </c>
      <c r="N131" s="1644">
        <f t="shared" ref="N131:N135" si="32">ROUNDUP(M131,0)</f>
        <v>0</v>
      </c>
      <c r="O131" s="1624"/>
      <c r="P131" s="934"/>
      <c r="Q131" s="934"/>
      <c r="R131" s="939"/>
      <c r="S131" s="939"/>
      <c r="T131" s="939"/>
      <c r="U131" s="939"/>
      <c r="V131" s="939"/>
    </row>
    <row r="132" spans="1:22" ht="15" thickTop="1" thickBot="1" x14ac:dyDescent="0.3">
      <c r="A132" s="937"/>
      <c r="B132" s="938"/>
      <c r="C132" s="938"/>
      <c r="D132" s="938" t="s">
        <v>1886</v>
      </c>
      <c r="E132" s="1624">
        <v>1</v>
      </c>
      <c r="F132" s="1624">
        <v>13.35</v>
      </c>
      <c r="G132" s="1624">
        <v>0.22500000000000001</v>
      </c>
      <c r="H132" s="1624">
        <v>0.45</v>
      </c>
      <c r="I132" s="1624">
        <f t="shared" si="29"/>
        <v>1.3516875000000002</v>
      </c>
      <c r="J132" s="1624"/>
      <c r="K132" s="1643"/>
      <c r="L132" s="1643">
        <f t="shared" si="30"/>
        <v>0</v>
      </c>
      <c r="M132" s="1634">
        <f t="shared" si="31"/>
        <v>0</v>
      </c>
      <c r="N132" s="1644">
        <f t="shared" si="32"/>
        <v>0</v>
      </c>
      <c r="O132" s="1624"/>
      <c r="P132" s="934"/>
      <c r="Q132" s="934"/>
      <c r="R132" s="939"/>
      <c r="S132" s="939"/>
      <c r="T132" s="939"/>
      <c r="U132" s="939"/>
      <c r="V132" s="939"/>
    </row>
    <row r="133" spans="1:22" ht="15" thickTop="1" thickBot="1" x14ac:dyDescent="0.3">
      <c r="A133" s="937"/>
      <c r="B133" s="938"/>
      <c r="C133" s="938"/>
      <c r="D133" s="938" t="s">
        <v>1889</v>
      </c>
      <c r="E133" s="1624">
        <v>1</v>
      </c>
      <c r="F133" s="1624">
        <v>8.2249999999999996</v>
      </c>
      <c r="G133" s="1624">
        <v>0.22500000000000001</v>
      </c>
      <c r="H133" s="1624">
        <v>0.45</v>
      </c>
      <c r="I133" s="1624">
        <f t="shared" si="29"/>
        <v>0.83278125000000003</v>
      </c>
      <c r="J133" s="1624"/>
      <c r="K133" s="1643"/>
      <c r="L133" s="1643">
        <f t="shared" si="30"/>
        <v>0</v>
      </c>
      <c r="M133" s="1634">
        <f t="shared" si="31"/>
        <v>0</v>
      </c>
      <c r="N133" s="1644">
        <f t="shared" si="32"/>
        <v>0</v>
      </c>
      <c r="O133" s="1624"/>
      <c r="P133" s="934"/>
      <c r="Q133" s="934"/>
      <c r="R133" s="939"/>
      <c r="S133" s="939"/>
      <c r="T133" s="939"/>
      <c r="U133" s="939"/>
      <c r="V133" s="939"/>
    </row>
    <row r="134" spans="1:22" ht="15" thickTop="1" thickBot="1" x14ac:dyDescent="0.3">
      <c r="A134" s="937"/>
      <c r="B134" s="938"/>
      <c r="C134" s="938"/>
      <c r="D134" s="938" t="s">
        <v>1890</v>
      </c>
      <c r="E134" s="1624">
        <v>1</v>
      </c>
      <c r="F134" s="1624">
        <v>0.9</v>
      </c>
      <c r="G134" s="1624">
        <v>0.22500000000000001</v>
      </c>
      <c r="H134" s="1624">
        <v>0.45</v>
      </c>
      <c r="I134" s="1624">
        <f t="shared" si="29"/>
        <v>9.1125000000000012E-2</v>
      </c>
      <c r="J134" s="1624"/>
      <c r="K134" s="1643"/>
      <c r="L134" s="1643">
        <f t="shared" si="30"/>
        <v>0</v>
      </c>
      <c r="M134" s="1634">
        <f t="shared" si="31"/>
        <v>0</v>
      </c>
      <c r="N134" s="1644">
        <f t="shared" si="32"/>
        <v>0</v>
      </c>
      <c r="O134" s="1624"/>
      <c r="P134" s="934"/>
      <c r="Q134" s="934"/>
      <c r="R134" s="939"/>
      <c r="S134" s="939"/>
      <c r="T134" s="939"/>
      <c r="U134" s="939"/>
      <c r="V134" s="939"/>
    </row>
    <row r="135" spans="1:22" ht="15" thickTop="1" thickBot="1" x14ac:dyDescent="0.3">
      <c r="A135" s="937"/>
      <c r="B135" s="938"/>
      <c r="C135" s="938"/>
      <c r="D135" s="938" t="s">
        <v>1887</v>
      </c>
      <c r="E135" s="1624">
        <v>1</v>
      </c>
      <c r="F135" s="1624">
        <v>3.7749999999999999</v>
      </c>
      <c r="G135" s="1624">
        <v>0.22500000000000001</v>
      </c>
      <c r="H135" s="1624">
        <v>0.45</v>
      </c>
      <c r="I135" s="1624">
        <f t="shared" si="29"/>
        <v>0.38221875</v>
      </c>
      <c r="J135" s="1624"/>
      <c r="K135" s="1643"/>
      <c r="L135" s="1643">
        <f t="shared" si="30"/>
        <v>0</v>
      </c>
      <c r="M135" s="1634">
        <f t="shared" si="31"/>
        <v>0</v>
      </c>
      <c r="N135" s="1644">
        <f t="shared" si="32"/>
        <v>0</v>
      </c>
      <c r="O135" s="1624"/>
      <c r="P135" s="934"/>
      <c r="Q135" s="934"/>
      <c r="R135" s="939"/>
      <c r="S135" s="939"/>
      <c r="T135" s="939"/>
      <c r="U135" s="939"/>
      <c r="V135" s="939"/>
    </row>
    <row r="136" spans="1:22" ht="15" thickTop="1" thickBot="1" x14ac:dyDescent="0.3">
      <c r="A136" s="937"/>
      <c r="B136" s="938"/>
      <c r="C136" s="938"/>
      <c r="D136" s="938" t="s">
        <v>1891</v>
      </c>
      <c r="E136" s="1624">
        <v>1</v>
      </c>
      <c r="F136" s="1624">
        <v>4.55</v>
      </c>
      <c r="G136" s="1624">
        <v>0.22500000000000001</v>
      </c>
      <c r="H136" s="1624">
        <v>0.3</v>
      </c>
      <c r="I136" s="1624">
        <f t="shared" si="29"/>
        <v>0.30712499999999998</v>
      </c>
      <c r="J136" s="1624"/>
      <c r="K136" s="1643"/>
      <c r="L136" s="1643">
        <f t="shared" ref="L136:L137" si="33">K136*J136</f>
        <v>0</v>
      </c>
      <c r="M136" s="1634">
        <f t="shared" ref="M136:M137" si="34">ROUND(L136,1)</f>
        <v>0</v>
      </c>
      <c r="N136" s="1644">
        <f t="shared" ref="N136:N137" si="35">ROUNDUP(M136,0)</f>
        <v>0</v>
      </c>
      <c r="O136" s="1624"/>
      <c r="P136" s="934"/>
      <c r="Q136" s="934"/>
      <c r="R136" s="939"/>
      <c r="S136" s="939"/>
      <c r="T136" s="939"/>
      <c r="U136" s="939"/>
      <c r="V136" s="939"/>
    </row>
    <row r="137" spans="1:22" ht="15" thickTop="1" thickBot="1" x14ac:dyDescent="0.3">
      <c r="A137" s="937"/>
      <c r="B137" s="938"/>
      <c r="C137" s="938"/>
      <c r="D137" s="938" t="s">
        <v>1893</v>
      </c>
      <c r="E137" s="1624">
        <v>1</v>
      </c>
      <c r="F137" s="1624">
        <v>0.9</v>
      </c>
      <c r="G137" s="1624">
        <v>0.22500000000000001</v>
      </c>
      <c r="H137" s="1624">
        <v>0.45</v>
      </c>
      <c r="I137" s="1624">
        <f t="shared" si="29"/>
        <v>9.1125000000000012E-2</v>
      </c>
      <c r="J137" s="1624">
        <f>SUM(I127:I145)</f>
        <v>11.0415375</v>
      </c>
      <c r="K137" s="1643">
        <f t="shared" ref="K137" si="36">$K$2</f>
        <v>1.05</v>
      </c>
      <c r="L137" s="1643">
        <f t="shared" si="33"/>
        <v>11.593614375000001</v>
      </c>
      <c r="M137" s="1634">
        <f t="shared" si="34"/>
        <v>11.6</v>
      </c>
      <c r="N137" s="1644">
        <f t="shared" si="35"/>
        <v>12</v>
      </c>
      <c r="O137" s="1624" t="s">
        <v>693</v>
      </c>
      <c r="P137" s="934"/>
      <c r="Q137" s="934"/>
      <c r="R137" s="939"/>
      <c r="S137" s="939"/>
      <c r="T137" s="939"/>
      <c r="U137" s="939"/>
      <c r="V137" s="939"/>
    </row>
    <row r="138" spans="1:22" ht="15" thickTop="1" thickBot="1" x14ac:dyDescent="0.3">
      <c r="A138" s="937" t="s">
        <v>1892</v>
      </c>
      <c r="B138" s="938"/>
      <c r="C138" s="938"/>
      <c r="D138" s="938" t="s">
        <v>1888</v>
      </c>
      <c r="E138" s="1624">
        <v>1</v>
      </c>
      <c r="F138" s="1624">
        <v>10.8</v>
      </c>
      <c r="G138" s="1624">
        <v>0.22500000000000001</v>
      </c>
      <c r="H138" s="1624">
        <v>0.45</v>
      </c>
      <c r="I138" s="1624">
        <f t="shared" si="29"/>
        <v>1.0935000000000001</v>
      </c>
      <c r="J138" s="1624"/>
      <c r="K138" s="1643"/>
      <c r="L138" s="1643"/>
      <c r="M138" s="1634"/>
      <c r="N138" s="1644"/>
      <c r="O138" s="1624"/>
      <c r="P138" s="934"/>
      <c r="Q138" s="934"/>
      <c r="R138" s="939"/>
      <c r="S138" s="939"/>
      <c r="T138" s="939"/>
      <c r="U138" s="939"/>
      <c r="V138" s="939"/>
    </row>
    <row r="139" spans="1:22" ht="15" thickTop="1" thickBot="1" x14ac:dyDescent="0.3">
      <c r="A139" s="937"/>
      <c r="B139" s="938"/>
      <c r="C139" s="938"/>
      <c r="D139" s="938" t="s">
        <v>1894</v>
      </c>
      <c r="E139" s="1624">
        <v>1</v>
      </c>
      <c r="F139" s="1624">
        <v>4.8</v>
      </c>
      <c r="G139" s="1624">
        <v>0.22500000000000001</v>
      </c>
      <c r="H139" s="1624">
        <v>0.3</v>
      </c>
      <c r="I139" s="1624">
        <f t="shared" si="29"/>
        <v>0.32400000000000001</v>
      </c>
      <c r="J139" s="1624"/>
      <c r="K139" s="1643"/>
      <c r="L139" s="1643"/>
      <c r="M139" s="1634"/>
      <c r="N139" s="1644"/>
      <c r="O139" s="1624"/>
      <c r="P139" s="934"/>
      <c r="Q139" s="934"/>
      <c r="R139" s="939"/>
      <c r="S139" s="939"/>
      <c r="T139" s="939"/>
      <c r="U139" s="939"/>
      <c r="V139" s="939"/>
    </row>
    <row r="140" spans="1:22" ht="15" thickTop="1" thickBot="1" x14ac:dyDescent="0.3">
      <c r="A140" s="937"/>
      <c r="B140" s="938"/>
      <c r="C140" s="938"/>
      <c r="D140" s="938" t="s">
        <v>1895</v>
      </c>
      <c r="E140" s="1624">
        <v>1</v>
      </c>
      <c r="F140" s="1624">
        <v>4</v>
      </c>
      <c r="G140" s="1624">
        <v>0.22500000000000001</v>
      </c>
      <c r="H140" s="1624">
        <v>0.45</v>
      </c>
      <c r="I140" s="1624">
        <f t="shared" si="29"/>
        <v>0.40500000000000003</v>
      </c>
      <c r="J140" s="1624"/>
      <c r="K140" s="1643"/>
      <c r="L140" s="1643"/>
      <c r="M140" s="1634"/>
      <c r="N140" s="1644"/>
      <c r="O140" s="1624"/>
      <c r="P140" s="934"/>
      <c r="Q140" s="934"/>
      <c r="R140" s="939"/>
      <c r="S140" s="939"/>
      <c r="T140" s="939"/>
      <c r="U140" s="939"/>
      <c r="V140" s="939"/>
    </row>
    <row r="141" spans="1:22" ht="15" thickTop="1" thickBot="1" x14ac:dyDescent="0.3">
      <c r="A141" s="937"/>
      <c r="B141" s="938"/>
      <c r="C141" s="938"/>
      <c r="D141" s="938" t="s">
        <v>1896</v>
      </c>
      <c r="E141" s="1624">
        <v>2</v>
      </c>
      <c r="F141" s="1624">
        <v>0.67500000000000004</v>
      </c>
      <c r="G141" s="1624">
        <v>0.22500000000000001</v>
      </c>
      <c r="H141" s="1624">
        <v>0.45</v>
      </c>
      <c r="I141" s="1624">
        <f t="shared" si="29"/>
        <v>0.13668750000000002</v>
      </c>
      <c r="J141" s="1624"/>
      <c r="K141" s="1643"/>
      <c r="L141" s="1643"/>
      <c r="M141" s="1634"/>
      <c r="N141" s="1644"/>
      <c r="O141" s="1624"/>
      <c r="P141" s="934"/>
      <c r="Q141" s="934"/>
      <c r="R141" s="939"/>
      <c r="S141" s="939"/>
      <c r="T141" s="939"/>
      <c r="U141" s="939"/>
      <c r="V141" s="939"/>
    </row>
    <row r="142" spans="1:22" ht="15" thickTop="1" thickBot="1" x14ac:dyDescent="0.3">
      <c r="A142" s="937"/>
      <c r="B142" s="938"/>
      <c r="C142" s="938"/>
      <c r="D142" s="938" t="s">
        <v>1897</v>
      </c>
      <c r="E142" s="1624">
        <v>3</v>
      </c>
      <c r="F142" s="1624">
        <v>2.39</v>
      </c>
      <c r="G142" s="1624">
        <v>7.4999999999999997E-2</v>
      </c>
      <c r="H142" s="1624">
        <v>0.22500000000000001</v>
      </c>
      <c r="I142" s="1624">
        <f t="shared" si="29"/>
        <v>0.12099375000000001</v>
      </c>
      <c r="J142" s="1624"/>
      <c r="K142" s="1643"/>
      <c r="L142" s="1643"/>
      <c r="M142" s="1634"/>
      <c r="N142" s="1644"/>
      <c r="O142" s="1624"/>
      <c r="P142" s="934"/>
      <c r="Q142" s="934"/>
      <c r="R142" s="939"/>
      <c r="S142" s="939"/>
      <c r="T142" s="939"/>
      <c r="U142" s="939"/>
      <c r="V142" s="939"/>
    </row>
    <row r="143" spans="1:22" ht="15" thickTop="1" thickBot="1" x14ac:dyDescent="0.3">
      <c r="A143" s="937"/>
      <c r="B143" s="938"/>
      <c r="C143" s="938"/>
      <c r="D143" s="938"/>
      <c r="E143" s="1624">
        <v>1</v>
      </c>
      <c r="F143" s="1624">
        <v>3.45</v>
      </c>
      <c r="G143" s="1624">
        <v>7.4999999999999997E-2</v>
      </c>
      <c r="H143" s="1624">
        <v>0.22500000000000001</v>
      </c>
      <c r="I143" s="1624">
        <f t="shared" si="29"/>
        <v>5.8218750000000007E-2</v>
      </c>
      <c r="J143" s="1624"/>
      <c r="K143" s="1643"/>
      <c r="L143" s="1643"/>
      <c r="M143" s="1634"/>
      <c r="N143" s="1644"/>
      <c r="O143" s="1624"/>
      <c r="P143" s="934"/>
      <c r="Q143" s="934"/>
      <c r="R143" s="939"/>
      <c r="S143" s="939"/>
      <c r="T143" s="939"/>
      <c r="U143" s="939"/>
      <c r="V143" s="939"/>
    </row>
    <row r="144" spans="1:22" ht="15" thickTop="1" thickBot="1" x14ac:dyDescent="0.3">
      <c r="A144" s="937"/>
      <c r="B144" s="938"/>
      <c r="C144" s="938"/>
      <c r="D144" s="938"/>
      <c r="E144" s="1624">
        <v>2</v>
      </c>
      <c r="F144" s="1624">
        <v>4.04</v>
      </c>
      <c r="G144" s="1624">
        <v>0.15</v>
      </c>
      <c r="H144" s="1624">
        <v>0.2</v>
      </c>
      <c r="I144" s="1624">
        <f t="shared" si="29"/>
        <v>0.2424</v>
      </c>
      <c r="J144" s="1624"/>
      <c r="K144" s="1643"/>
      <c r="L144" s="1643"/>
      <c r="M144" s="1634"/>
      <c r="N144" s="1644"/>
      <c r="O144" s="1624"/>
      <c r="P144" s="934"/>
      <c r="Q144" s="934"/>
      <c r="R144" s="939"/>
      <c r="S144" s="939"/>
      <c r="T144" s="939"/>
      <c r="U144" s="939"/>
      <c r="V144" s="939"/>
    </row>
    <row r="145" spans="1:22" ht="15" thickTop="1" thickBot="1" x14ac:dyDescent="0.3">
      <c r="A145" s="937"/>
      <c r="B145" s="938"/>
      <c r="C145" s="938"/>
      <c r="D145" s="938"/>
      <c r="E145" s="1624">
        <v>2</v>
      </c>
      <c r="F145" s="1624">
        <v>3.895</v>
      </c>
      <c r="G145" s="1624">
        <v>0.15</v>
      </c>
      <c r="H145" s="1624">
        <v>0.2</v>
      </c>
      <c r="I145" s="1624">
        <f t="shared" si="29"/>
        <v>0.23369999999999999</v>
      </c>
      <c r="J145" s="1624"/>
      <c r="K145" s="1643"/>
      <c r="L145" s="1643"/>
      <c r="M145" s="1634"/>
      <c r="N145" s="1644"/>
      <c r="O145" s="1624"/>
      <c r="P145" s="934"/>
      <c r="Q145" s="934"/>
      <c r="R145" s="939"/>
      <c r="S145" s="939"/>
      <c r="T145" s="939"/>
      <c r="U145" s="939"/>
      <c r="V145" s="939"/>
    </row>
    <row r="146" spans="1:22" ht="15" thickTop="1" thickBot="1" x14ac:dyDescent="0.3">
      <c r="A146" s="937"/>
      <c r="B146" s="938"/>
      <c r="C146" s="938"/>
      <c r="D146" s="938"/>
      <c r="E146" s="1624"/>
      <c r="F146" s="1624"/>
      <c r="G146" s="1624"/>
      <c r="H146" s="1624"/>
      <c r="I146" s="1624"/>
      <c r="J146" s="1624"/>
      <c r="K146" s="1643"/>
      <c r="L146" s="1643"/>
      <c r="M146" s="1634"/>
      <c r="N146" s="1644"/>
      <c r="O146" s="1624"/>
      <c r="P146" s="934"/>
      <c r="Q146" s="934"/>
      <c r="R146" s="939"/>
      <c r="S146" s="939"/>
      <c r="T146" s="939"/>
      <c r="U146" s="939"/>
      <c r="V146" s="939"/>
    </row>
    <row r="147" spans="1:22" ht="15" thickTop="1" thickBot="1" x14ac:dyDescent="0.3">
      <c r="A147" s="937" t="str">
        <f>concrete!A48</f>
        <v>C5.2</v>
      </c>
      <c r="B147" s="1623" t="str">
        <f>concrete!B48</f>
        <v>In Reinforced beam at second floor level</v>
      </c>
      <c r="C147" s="938"/>
      <c r="D147" s="938" t="s">
        <v>1899</v>
      </c>
      <c r="E147" s="1624">
        <v>1</v>
      </c>
      <c r="F147" s="1624">
        <v>10.5</v>
      </c>
      <c r="G147" s="1624">
        <v>0.22500000000000001</v>
      </c>
      <c r="H147" s="1624">
        <v>0.3</v>
      </c>
      <c r="I147" s="1624">
        <f t="shared" si="29"/>
        <v>0.70874999999999999</v>
      </c>
      <c r="J147" s="1624"/>
      <c r="K147" s="1643"/>
      <c r="L147" s="1643"/>
      <c r="M147" s="1634"/>
      <c r="N147" s="1644"/>
      <c r="O147" s="1624"/>
      <c r="P147" s="934"/>
      <c r="Q147" s="934"/>
      <c r="R147" s="939"/>
      <c r="S147" s="939"/>
      <c r="T147" s="939"/>
      <c r="U147" s="939"/>
      <c r="V147" s="939"/>
    </row>
    <row r="148" spans="1:22" ht="15" thickTop="1" thickBot="1" x14ac:dyDescent="0.3">
      <c r="A148" s="937"/>
      <c r="B148" s="938"/>
      <c r="C148" s="938"/>
      <c r="D148" s="938" t="s">
        <v>1898</v>
      </c>
      <c r="E148" s="1624">
        <v>1</v>
      </c>
      <c r="F148" s="1624">
        <v>6.15</v>
      </c>
      <c r="G148" s="1624">
        <v>0.3</v>
      </c>
      <c r="H148" s="1624">
        <v>0.6</v>
      </c>
      <c r="I148" s="1624">
        <f t="shared" si="29"/>
        <v>1.107</v>
      </c>
      <c r="J148" s="1624"/>
      <c r="K148" s="1643"/>
      <c r="L148" s="1643"/>
      <c r="M148" s="1634"/>
      <c r="N148" s="1644"/>
      <c r="O148" s="1624"/>
      <c r="P148" s="934"/>
      <c r="Q148" s="934"/>
      <c r="R148" s="939"/>
      <c r="S148" s="939"/>
      <c r="T148" s="939"/>
      <c r="U148" s="939"/>
      <c r="V148" s="939"/>
    </row>
    <row r="149" spans="1:22" ht="15" thickTop="1" thickBot="1" x14ac:dyDescent="0.3">
      <c r="A149" s="937"/>
      <c r="B149" s="938"/>
      <c r="C149" s="938"/>
      <c r="D149" s="938" t="s">
        <v>1900</v>
      </c>
      <c r="E149" s="1624">
        <v>1</v>
      </c>
      <c r="F149" s="1624">
        <v>3.875</v>
      </c>
      <c r="G149" s="1624">
        <v>0.3</v>
      </c>
      <c r="H149" s="1624">
        <v>0.45</v>
      </c>
      <c r="I149" s="1624">
        <f t="shared" si="29"/>
        <v>0.52312500000000006</v>
      </c>
      <c r="J149" s="1624"/>
      <c r="K149" s="1643"/>
      <c r="L149" s="1643"/>
      <c r="M149" s="1634"/>
      <c r="N149" s="1644"/>
      <c r="O149" s="1624"/>
      <c r="P149" s="934"/>
      <c r="Q149" s="934"/>
      <c r="R149" s="939"/>
      <c r="S149" s="939"/>
      <c r="T149" s="939"/>
      <c r="U149" s="939"/>
      <c r="V149" s="939"/>
    </row>
    <row r="150" spans="1:22" ht="15" thickTop="1" thickBot="1" x14ac:dyDescent="0.3">
      <c r="A150" s="937"/>
      <c r="B150" s="938"/>
      <c r="C150" s="938"/>
      <c r="D150" s="938" t="s">
        <v>1901</v>
      </c>
      <c r="E150" s="1624">
        <v>1</v>
      </c>
      <c r="F150" s="1624">
        <v>10.27</v>
      </c>
      <c r="G150" s="1624">
        <v>0.22500000000000001</v>
      </c>
      <c r="H150" s="1624">
        <v>0.6</v>
      </c>
      <c r="I150" s="1624">
        <f t="shared" si="29"/>
        <v>1.38645</v>
      </c>
      <c r="J150" s="1624"/>
      <c r="K150" s="1643"/>
      <c r="L150" s="1643"/>
      <c r="M150" s="1634"/>
      <c r="N150" s="1644"/>
      <c r="O150" s="1624"/>
      <c r="P150" s="934"/>
      <c r="Q150" s="934"/>
      <c r="R150" s="939"/>
      <c r="S150" s="939"/>
      <c r="T150" s="939"/>
      <c r="U150" s="939"/>
      <c r="V150" s="939"/>
    </row>
    <row r="151" spans="1:22" ht="15" thickTop="1" thickBot="1" x14ac:dyDescent="0.3">
      <c r="A151" s="937"/>
      <c r="B151" s="938"/>
      <c r="C151" s="938"/>
      <c r="D151" s="938" t="s">
        <v>1902</v>
      </c>
      <c r="E151" s="1624">
        <v>1</v>
      </c>
      <c r="F151" s="1624">
        <v>10.15</v>
      </c>
      <c r="G151" s="1624">
        <v>0.22500000000000001</v>
      </c>
      <c r="H151" s="1624">
        <v>0.45</v>
      </c>
      <c r="I151" s="1624">
        <f t="shared" si="29"/>
        <v>1.0276875000000001</v>
      </c>
      <c r="J151" s="1624"/>
      <c r="K151" s="1643"/>
      <c r="L151" s="1643"/>
      <c r="M151" s="1634"/>
      <c r="N151" s="1644"/>
      <c r="O151" s="1624"/>
      <c r="P151" s="934"/>
      <c r="Q151" s="934"/>
      <c r="R151" s="939"/>
      <c r="S151" s="939"/>
      <c r="T151" s="939"/>
      <c r="U151" s="939"/>
      <c r="V151" s="939"/>
    </row>
    <row r="152" spans="1:22" ht="15" thickTop="1" thickBot="1" x14ac:dyDescent="0.3">
      <c r="A152" s="937"/>
      <c r="B152" s="938"/>
      <c r="C152" s="938"/>
      <c r="D152" s="938" t="s">
        <v>1903</v>
      </c>
      <c r="E152" s="1624">
        <v>1</v>
      </c>
      <c r="F152" s="1624">
        <v>11.95</v>
      </c>
      <c r="G152" s="1624">
        <v>0.22500000000000001</v>
      </c>
      <c r="H152" s="1624">
        <v>0.45</v>
      </c>
      <c r="I152" s="1624">
        <f t="shared" si="29"/>
        <v>1.2099375000000001</v>
      </c>
      <c r="J152" s="1624"/>
      <c r="K152" s="1643"/>
      <c r="L152" s="1643"/>
      <c r="M152" s="1634"/>
      <c r="N152" s="1644"/>
      <c r="O152" s="1624"/>
      <c r="P152" s="934"/>
      <c r="Q152" s="934"/>
      <c r="R152" s="939"/>
      <c r="S152" s="939"/>
      <c r="T152" s="939"/>
      <c r="U152" s="939"/>
      <c r="V152" s="939"/>
    </row>
    <row r="153" spans="1:22" ht="15" thickTop="1" thickBot="1" x14ac:dyDescent="0.3">
      <c r="A153" s="937"/>
      <c r="B153" s="938"/>
      <c r="C153" s="938"/>
      <c r="D153" s="938" t="s">
        <v>1904</v>
      </c>
      <c r="E153" s="1624">
        <v>1</v>
      </c>
      <c r="F153" s="1624">
        <v>10.8</v>
      </c>
      <c r="G153" s="1624">
        <v>0.22500000000000001</v>
      </c>
      <c r="H153" s="1624">
        <v>0.45</v>
      </c>
      <c r="I153" s="1624">
        <f t="shared" si="29"/>
        <v>1.0935000000000001</v>
      </c>
      <c r="J153" s="1624"/>
      <c r="K153" s="1643"/>
      <c r="L153" s="1643"/>
      <c r="M153" s="1634"/>
      <c r="N153" s="1644"/>
      <c r="O153" s="1624"/>
      <c r="P153" s="934"/>
      <c r="Q153" s="934"/>
      <c r="R153" s="939"/>
      <c r="S153" s="939"/>
      <c r="T153" s="939"/>
      <c r="U153" s="939"/>
      <c r="V153" s="939"/>
    </row>
    <row r="154" spans="1:22" ht="15" thickTop="1" thickBot="1" x14ac:dyDescent="0.3">
      <c r="A154" s="937"/>
      <c r="B154" s="938"/>
      <c r="C154" s="938"/>
      <c r="D154" s="938" t="s">
        <v>1905</v>
      </c>
      <c r="E154" s="1624">
        <v>1</v>
      </c>
      <c r="F154" s="1624">
        <f>0.9+10.8</f>
        <v>11.700000000000001</v>
      </c>
      <c r="G154" s="1624">
        <v>0.22500000000000001</v>
      </c>
      <c r="H154" s="1624">
        <v>0.45</v>
      </c>
      <c r="I154" s="1624">
        <f t="shared" si="29"/>
        <v>1.1846250000000003</v>
      </c>
      <c r="J154" s="1624"/>
      <c r="K154" s="1643"/>
      <c r="L154" s="1643"/>
      <c r="M154" s="1634"/>
      <c r="N154" s="1644"/>
      <c r="O154" s="1624"/>
      <c r="P154" s="934"/>
      <c r="Q154" s="934"/>
      <c r="R154" s="939"/>
      <c r="S154" s="939"/>
      <c r="T154" s="939"/>
      <c r="U154" s="939"/>
      <c r="V154" s="939"/>
    </row>
    <row r="155" spans="1:22" ht="15" thickTop="1" thickBot="1" x14ac:dyDescent="0.3">
      <c r="A155" s="937"/>
      <c r="B155" s="938"/>
      <c r="C155" s="938"/>
      <c r="D155" s="938" t="s">
        <v>1906</v>
      </c>
      <c r="E155" s="1624">
        <v>1</v>
      </c>
      <c r="F155" s="1624">
        <v>10.8</v>
      </c>
      <c r="G155" s="1624">
        <v>0.22500000000000001</v>
      </c>
      <c r="H155" s="1624">
        <v>0.3</v>
      </c>
      <c r="I155" s="1624">
        <f t="shared" si="29"/>
        <v>0.72900000000000009</v>
      </c>
      <c r="J155" s="1624"/>
      <c r="K155" s="1643"/>
      <c r="L155" s="1643"/>
      <c r="M155" s="1634"/>
      <c r="N155" s="1644"/>
      <c r="O155" s="1624"/>
      <c r="P155" s="934"/>
      <c r="Q155" s="934"/>
      <c r="R155" s="939"/>
      <c r="S155" s="939"/>
      <c r="T155" s="939"/>
      <c r="U155" s="939"/>
      <c r="V155" s="939"/>
    </row>
    <row r="156" spans="1:22" ht="15" thickTop="1" thickBot="1" x14ac:dyDescent="0.3">
      <c r="A156" s="937"/>
      <c r="B156" s="938"/>
      <c r="C156" s="938"/>
      <c r="D156" s="938" t="s">
        <v>1907</v>
      </c>
      <c r="E156" s="1624">
        <v>1</v>
      </c>
      <c r="F156" s="1624">
        <f>4.725</f>
        <v>4.7249999999999996</v>
      </c>
      <c r="G156" s="1624">
        <v>0.15</v>
      </c>
      <c r="H156" s="1624">
        <v>0.22500000000000001</v>
      </c>
      <c r="I156" s="1624">
        <f t="shared" si="29"/>
        <v>0.15946874999999999</v>
      </c>
      <c r="J156" s="1624"/>
      <c r="K156" s="1643"/>
      <c r="L156" s="1643"/>
      <c r="M156" s="1634"/>
      <c r="N156" s="1644"/>
      <c r="O156" s="1624"/>
      <c r="P156" s="934"/>
      <c r="Q156" s="934"/>
      <c r="R156" s="939"/>
      <c r="S156" s="939"/>
      <c r="T156" s="939"/>
      <c r="U156" s="939"/>
      <c r="V156" s="939"/>
    </row>
    <row r="157" spans="1:22" ht="15" thickTop="1" thickBot="1" x14ac:dyDescent="0.3">
      <c r="A157" s="937"/>
      <c r="B157" s="938"/>
      <c r="C157" s="938"/>
      <c r="D157" s="938"/>
      <c r="E157" s="1624">
        <v>2</v>
      </c>
      <c r="F157" s="1624">
        <v>3</v>
      </c>
      <c r="G157" s="1624">
        <v>0.22500000000000001</v>
      </c>
      <c r="H157" s="1624">
        <v>0.1</v>
      </c>
      <c r="I157" s="1624">
        <f t="shared" si="29"/>
        <v>0.13500000000000001</v>
      </c>
      <c r="J157" s="1624"/>
      <c r="K157" s="1643"/>
      <c r="L157" s="1643"/>
      <c r="M157" s="1634"/>
      <c r="N157" s="1644"/>
      <c r="O157" s="1624"/>
      <c r="P157" s="934"/>
      <c r="Q157" s="934"/>
      <c r="R157" s="939"/>
      <c r="S157" s="939"/>
      <c r="T157" s="939"/>
      <c r="U157" s="939"/>
      <c r="V157" s="939"/>
    </row>
    <row r="158" spans="1:22" ht="15" thickTop="1" thickBot="1" x14ac:dyDescent="0.3">
      <c r="A158" s="937"/>
      <c r="B158" s="938"/>
      <c r="C158" s="938"/>
      <c r="D158" s="938"/>
      <c r="E158" s="1624">
        <v>1</v>
      </c>
      <c r="F158" s="1624">
        <v>4</v>
      </c>
      <c r="G158" s="1624">
        <v>0.1</v>
      </c>
      <c r="H158" s="1624">
        <v>0.22500000000000001</v>
      </c>
      <c r="I158" s="1624">
        <f t="shared" si="29"/>
        <v>9.0000000000000011E-2</v>
      </c>
      <c r="J158" s="1624">
        <f>SUM(I147:I158)</f>
        <v>9.3545437500000013</v>
      </c>
      <c r="K158" s="1643">
        <f t="shared" ref="K158" si="37">$K$2</f>
        <v>1.05</v>
      </c>
      <c r="L158" s="1643">
        <f t="shared" ref="L158" si="38">K158*J158</f>
        <v>9.8222709375000026</v>
      </c>
      <c r="M158" s="1634">
        <f t="shared" ref="M158" si="39">ROUND(L158,1)</f>
        <v>9.8000000000000007</v>
      </c>
      <c r="N158" s="1644">
        <f t="shared" ref="N158" si="40">ROUNDUP(M158,0)</f>
        <v>10</v>
      </c>
      <c r="O158" s="1624" t="s">
        <v>693</v>
      </c>
      <c r="P158" s="934"/>
      <c r="Q158" s="934"/>
      <c r="R158" s="939"/>
      <c r="S158" s="939"/>
      <c r="T158" s="939"/>
      <c r="U158" s="939"/>
      <c r="V158" s="939"/>
    </row>
    <row r="159" spans="1:22" ht="15" thickTop="1" thickBot="1" x14ac:dyDescent="0.3">
      <c r="A159" s="937"/>
      <c r="B159" s="938"/>
      <c r="C159" s="938"/>
      <c r="D159" s="938"/>
      <c r="E159" s="1624"/>
      <c r="F159" s="1624"/>
      <c r="G159" s="1624"/>
      <c r="H159" s="1624"/>
      <c r="I159" s="1624"/>
      <c r="J159" s="1624"/>
      <c r="K159" s="1643"/>
      <c r="L159" s="1643"/>
      <c r="M159" s="1634"/>
      <c r="N159" s="1644"/>
      <c r="O159" s="1624"/>
      <c r="P159" s="934"/>
      <c r="Q159" s="934"/>
      <c r="R159" s="939"/>
      <c r="S159" s="939"/>
      <c r="T159" s="939"/>
      <c r="U159" s="939"/>
      <c r="V159" s="939"/>
    </row>
    <row r="160" spans="1:22" ht="15" thickTop="1" thickBot="1" x14ac:dyDescent="0.3">
      <c r="A160" s="937" t="str">
        <f>concrete!A49</f>
        <v>C5.3</v>
      </c>
      <c r="B160" s="1623" t="str">
        <f>concrete!B49</f>
        <v>In Reinforced beam at Terrace floor level (with Swimming Pool)</v>
      </c>
      <c r="C160" s="938"/>
      <c r="D160" s="938" t="s">
        <v>1908</v>
      </c>
      <c r="E160" s="1624">
        <v>1</v>
      </c>
      <c r="F160" s="1624">
        <v>7.1</v>
      </c>
      <c r="G160" s="1624">
        <v>0.22500000000000001</v>
      </c>
      <c r="H160" s="1624">
        <v>0.3</v>
      </c>
      <c r="I160" s="1624">
        <f t="shared" si="29"/>
        <v>0.47925000000000001</v>
      </c>
      <c r="J160" s="1624"/>
      <c r="K160" s="1643"/>
      <c r="L160" s="1643"/>
      <c r="M160" s="1634"/>
      <c r="N160" s="1644"/>
      <c r="O160" s="1624"/>
      <c r="P160" s="934"/>
      <c r="Q160" s="934"/>
      <c r="R160" s="939"/>
      <c r="S160" s="939"/>
      <c r="T160" s="939"/>
      <c r="U160" s="939"/>
      <c r="V160" s="939"/>
    </row>
    <row r="161" spans="1:22" ht="15" thickTop="1" thickBot="1" x14ac:dyDescent="0.3">
      <c r="A161" s="937"/>
      <c r="B161" s="938"/>
      <c r="C161" s="938"/>
      <c r="D161" s="938" t="s">
        <v>1909</v>
      </c>
      <c r="E161" s="1624">
        <v>1</v>
      </c>
      <c r="F161" s="1624">
        <v>5.15</v>
      </c>
      <c r="G161" s="1624">
        <v>0.22500000000000001</v>
      </c>
      <c r="H161" s="1624">
        <v>0.45</v>
      </c>
      <c r="I161" s="1624">
        <f t="shared" si="29"/>
        <v>0.52143750000000011</v>
      </c>
      <c r="J161" s="1624"/>
      <c r="K161" s="1643"/>
      <c r="L161" s="1643"/>
      <c r="M161" s="1634"/>
      <c r="N161" s="1644"/>
      <c r="O161" s="1624"/>
      <c r="P161" s="934"/>
      <c r="Q161" s="934"/>
      <c r="R161" s="939"/>
      <c r="S161" s="939"/>
      <c r="T161" s="939"/>
      <c r="U161" s="939"/>
      <c r="V161" s="939"/>
    </row>
    <row r="162" spans="1:22" ht="15" thickTop="1" thickBot="1" x14ac:dyDescent="0.3">
      <c r="A162" s="937"/>
      <c r="B162" s="938"/>
      <c r="C162" s="938"/>
      <c r="D162" s="938" t="s">
        <v>1910</v>
      </c>
      <c r="E162" s="1624">
        <v>1</v>
      </c>
      <c r="F162" s="1624">
        <v>3.7</v>
      </c>
      <c r="G162" s="1624">
        <v>0.22500000000000001</v>
      </c>
      <c r="H162" s="1624">
        <v>0.45</v>
      </c>
      <c r="I162" s="1624">
        <f t="shared" si="29"/>
        <v>0.37462500000000004</v>
      </c>
      <c r="J162" s="1624"/>
      <c r="K162" s="1643"/>
      <c r="L162" s="1643"/>
      <c r="M162" s="1634"/>
      <c r="N162" s="1644"/>
      <c r="O162" s="1624"/>
      <c r="P162" s="934"/>
      <c r="Q162" s="934"/>
      <c r="R162" s="939"/>
      <c r="S162" s="939"/>
      <c r="T162" s="939"/>
      <c r="U162" s="939"/>
      <c r="V162" s="939"/>
    </row>
    <row r="163" spans="1:22" ht="15" thickTop="1" thickBot="1" x14ac:dyDescent="0.3">
      <c r="A163" s="937"/>
      <c r="B163" s="938"/>
      <c r="C163" s="938"/>
      <c r="D163" s="938" t="s">
        <v>1911</v>
      </c>
      <c r="E163" s="1624">
        <v>1</v>
      </c>
      <c r="F163" s="1624">
        <v>6.05</v>
      </c>
      <c r="G163" s="1624">
        <v>0.22500000000000001</v>
      </c>
      <c r="H163" s="1624">
        <v>0.45</v>
      </c>
      <c r="I163" s="1624">
        <f t="shared" si="29"/>
        <v>0.61256250000000001</v>
      </c>
      <c r="J163" s="1624"/>
      <c r="K163" s="1643"/>
      <c r="L163" s="1643"/>
      <c r="M163" s="1634"/>
      <c r="N163" s="1644"/>
      <c r="O163" s="1624"/>
      <c r="P163" s="934"/>
      <c r="Q163" s="934"/>
      <c r="R163" s="939"/>
      <c r="S163" s="939"/>
      <c r="T163" s="939"/>
      <c r="U163" s="939"/>
      <c r="V163" s="939"/>
    </row>
    <row r="164" spans="1:22" ht="15" thickTop="1" thickBot="1" x14ac:dyDescent="0.3">
      <c r="A164" s="937"/>
      <c r="B164" s="938"/>
      <c r="C164" s="938"/>
      <c r="D164" s="938" t="s">
        <v>1912</v>
      </c>
      <c r="E164" s="1624">
        <v>1</v>
      </c>
      <c r="F164" s="1624">
        <v>2.4500000000000002</v>
      </c>
      <c r="G164" s="1624">
        <v>0.22500000000000001</v>
      </c>
      <c r="H164" s="1624">
        <v>0.3</v>
      </c>
      <c r="I164" s="1624">
        <f t="shared" si="29"/>
        <v>0.16537500000000002</v>
      </c>
      <c r="J164" s="1624"/>
      <c r="K164" s="1643"/>
      <c r="L164" s="1643"/>
      <c r="M164" s="1634"/>
      <c r="N164" s="1644"/>
      <c r="O164" s="1624"/>
      <c r="P164" s="934"/>
      <c r="Q164" s="934"/>
      <c r="R164" s="939"/>
      <c r="S164" s="939"/>
      <c r="T164" s="939"/>
      <c r="U164" s="939"/>
      <c r="V164" s="939"/>
    </row>
    <row r="165" spans="1:22" ht="15" thickTop="1" thickBot="1" x14ac:dyDescent="0.3">
      <c r="A165" s="937"/>
      <c r="B165" s="938"/>
      <c r="C165" s="938"/>
      <c r="D165" s="938" t="s">
        <v>1913</v>
      </c>
      <c r="E165" s="1624">
        <v>1</v>
      </c>
      <c r="F165" s="1624">
        <v>4.9000000000000004</v>
      </c>
      <c r="G165" s="1624">
        <v>0.22500000000000001</v>
      </c>
      <c r="H165" s="1624">
        <v>0.45</v>
      </c>
      <c r="I165" s="1624">
        <f t="shared" si="29"/>
        <v>0.49612500000000009</v>
      </c>
      <c r="J165" s="1624"/>
      <c r="K165" s="1643"/>
      <c r="L165" s="1643"/>
      <c r="M165" s="1634"/>
      <c r="N165" s="1644"/>
      <c r="O165" s="1624"/>
      <c r="P165" s="934"/>
      <c r="Q165" s="934"/>
      <c r="R165" s="939"/>
      <c r="S165" s="939"/>
      <c r="T165" s="939"/>
      <c r="U165" s="939"/>
      <c r="V165" s="939"/>
    </row>
    <row r="166" spans="1:22" ht="15" thickTop="1" thickBot="1" x14ac:dyDescent="0.3">
      <c r="A166" s="937"/>
      <c r="B166" s="938"/>
      <c r="C166" s="938"/>
      <c r="D166" s="938" t="s">
        <v>1914</v>
      </c>
      <c r="E166" s="1624">
        <v>1</v>
      </c>
      <c r="F166" s="1624">
        <v>2.4500000000000002</v>
      </c>
      <c r="G166" s="1624">
        <v>0.22500000000000001</v>
      </c>
      <c r="H166" s="1624">
        <v>0.3</v>
      </c>
      <c r="I166" s="1624">
        <f t="shared" si="29"/>
        <v>0.16537500000000002</v>
      </c>
      <c r="J166" s="1624"/>
      <c r="K166" s="1643"/>
      <c r="L166" s="1643"/>
      <c r="M166" s="1634"/>
      <c r="N166" s="1644"/>
      <c r="O166" s="1624"/>
      <c r="P166" s="934"/>
      <c r="Q166" s="934"/>
      <c r="R166" s="939"/>
      <c r="S166" s="939"/>
      <c r="T166" s="939"/>
      <c r="U166" s="939"/>
      <c r="V166" s="939"/>
    </row>
    <row r="167" spans="1:22" ht="15" thickTop="1" thickBot="1" x14ac:dyDescent="0.3">
      <c r="A167" s="937"/>
      <c r="B167" s="938"/>
      <c r="C167" s="938"/>
      <c r="D167" s="938" t="s">
        <v>1915</v>
      </c>
      <c r="E167" s="1624">
        <v>1</v>
      </c>
      <c r="F167" s="1624">
        <v>3.125</v>
      </c>
      <c r="G167" s="1624">
        <v>0.22500000000000001</v>
      </c>
      <c r="H167" s="1624">
        <v>0.3</v>
      </c>
      <c r="I167" s="1624">
        <f t="shared" si="29"/>
        <v>0.2109375</v>
      </c>
      <c r="J167" s="1624"/>
      <c r="K167" s="1643"/>
      <c r="L167" s="1643"/>
      <c r="M167" s="1634"/>
      <c r="N167" s="1644"/>
      <c r="O167" s="1624"/>
      <c r="P167" s="934"/>
      <c r="Q167" s="934"/>
      <c r="R167" s="939"/>
      <c r="S167" s="939"/>
      <c r="T167" s="939"/>
      <c r="U167" s="939"/>
      <c r="V167" s="939"/>
    </row>
    <row r="168" spans="1:22" ht="15" thickTop="1" thickBot="1" x14ac:dyDescent="0.3">
      <c r="A168" s="937"/>
      <c r="B168" s="938"/>
      <c r="C168" s="938"/>
      <c r="D168" s="938" t="s">
        <v>1916</v>
      </c>
      <c r="E168" s="1624">
        <v>1</v>
      </c>
      <c r="F168" s="1624">
        <v>3</v>
      </c>
      <c r="G168" s="1624">
        <v>0.22500000000000001</v>
      </c>
      <c r="H168" s="1624">
        <v>0.3</v>
      </c>
      <c r="I168" s="1624">
        <f t="shared" si="29"/>
        <v>0.20250000000000001</v>
      </c>
      <c r="J168" s="1624"/>
      <c r="K168" s="1643"/>
      <c r="L168" s="1643"/>
      <c r="M168" s="1634"/>
      <c r="N168" s="1644"/>
      <c r="O168" s="1624"/>
      <c r="P168" s="934"/>
      <c r="Q168" s="934"/>
      <c r="R168" s="939"/>
      <c r="S168" s="939"/>
      <c r="T168" s="939"/>
      <c r="U168" s="939"/>
      <c r="V168" s="939"/>
    </row>
    <row r="169" spans="1:22" ht="15" thickTop="1" thickBot="1" x14ac:dyDescent="0.3">
      <c r="A169" s="937"/>
      <c r="B169" s="938"/>
      <c r="C169" s="938"/>
      <c r="D169" s="938" t="s">
        <v>1917</v>
      </c>
      <c r="E169" s="1624">
        <v>1</v>
      </c>
      <c r="F169" s="1624">
        <v>0.9</v>
      </c>
      <c r="G169" s="1624">
        <v>0.22500000000000001</v>
      </c>
      <c r="H169" s="1624">
        <v>0.45</v>
      </c>
      <c r="I169" s="1624">
        <f t="shared" si="29"/>
        <v>9.1125000000000012E-2</v>
      </c>
      <c r="J169" s="1624">
        <f>SUM(I160:I169)</f>
        <v>3.3193125000000006</v>
      </c>
      <c r="K169" s="1643">
        <f t="shared" ref="K169" si="41">$K$2</f>
        <v>1.05</v>
      </c>
      <c r="L169" s="1643">
        <f t="shared" ref="L169" si="42">K169*J169</f>
        <v>3.4852781250000007</v>
      </c>
      <c r="M169" s="1634">
        <f t="shared" ref="M169" si="43">ROUND(L169,1)</f>
        <v>3.5</v>
      </c>
      <c r="N169" s="1644">
        <f t="shared" ref="N169" si="44">ROUNDUP(M169,0)</f>
        <v>4</v>
      </c>
      <c r="O169" s="1624" t="s">
        <v>693</v>
      </c>
      <c r="P169" s="934"/>
      <c r="Q169" s="934"/>
      <c r="R169" s="939"/>
      <c r="S169" s="939"/>
      <c r="T169" s="939"/>
      <c r="U169" s="939"/>
      <c r="V169" s="939"/>
    </row>
    <row r="170" spans="1:22" ht="14.4" thickTop="1" x14ac:dyDescent="0.25">
      <c r="A170" s="937"/>
      <c r="B170" s="938"/>
      <c r="C170" s="938"/>
      <c r="D170" s="938"/>
      <c r="E170" s="1624"/>
      <c r="F170" s="1624"/>
      <c r="G170" s="1624"/>
      <c r="H170" s="1624"/>
      <c r="I170" s="1624"/>
      <c r="J170" s="1624"/>
      <c r="K170" s="1643"/>
      <c r="L170" s="1643"/>
      <c r="M170" s="1644"/>
      <c r="N170" s="1644"/>
      <c r="O170" s="1624"/>
      <c r="P170" s="934"/>
      <c r="Q170" s="934"/>
      <c r="R170" s="939"/>
      <c r="S170" s="939"/>
      <c r="T170" s="939"/>
      <c r="U170" s="939"/>
      <c r="V170" s="939"/>
    </row>
    <row r="171" spans="1:22" x14ac:dyDescent="0.25">
      <c r="A171" s="937" t="str">
        <f>concrete!A52</f>
        <v>C5.5</v>
      </c>
      <c r="B171" s="1623" t="str">
        <f>concrete!B52</f>
        <v>In Reinforced slab at First floor level</v>
      </c>
      <c r="C171" s="938"/>
      <c r="D171" s="938"/>
      <c r="E171" s="1624"/>
      <c r="F171" s="1639">
        <v>131</v>
      </c>
      <c r="G171" s="1624"/>
      <c r="H171" s="1639">
        <v>0.125</v>
      </c>
      <c r="I171" s="1639">
        <f>H171*F171</f>
        <v>16.375</v>
      </c>
      <c r="J171" s="1639">
        <f>SUM(I171)</f>
        <v>16.375</v>
      </c>
      <c r="K171" s="1639">
        <f>$K$2</f>
        <v>1.05</v>
      </c>
      <c r="L171" s="1639">
        <f t="shared" ref="L171" si="45">K171*J171</f>
        <v>17.193750000000001</v>
      </c>
      <c r="M171" s="1639">
        <f t="shared" ref="M171" si="46">ROUND(L171,1)</f>
        <v>17.2</v>
      </c>
      <c r="N171" s="1639">
        <f t="shared" ref="N171" si="47">ROUNDUP(M171,0)</f>
        <v>18</v>
      </c>
      <c r="O171" s="1624" t="s">
        <v>693</v>
      </c>
      <c r="P171" s="934"/>
      <c r="Q171" s="934"/>
      <c r="R171" s="939"/>
      <c r="S171" s="939"/>
      <c r="T171" s="939"/>
      <c r="U171" s="939"/>
      <c r="V171" s="939"/>
    </row>
    <row r="172" spans="1:22" ht="14.4" thickBot="1" x14ac:dyDescent="0.3">
      <c r="A172" s="937"/>
      <c r="B172" s="938"/>
      <c r="C172" s="938"/>
      <c r="D172" s="938"/>
      <c r="E172" s="1624"/>
      <c r="F172" s="1624"/>
      <c r="G172" s="1624"/>
      <c r="H172" s="1624"/>
      <c r="I172" s="1624"/>
      <c r="J172" s="1624"/>
      <c r="K172" s="1643"/>
      <c r="L172" s="1643"/>
      <c r="M172" s="1634"/>
      <c r="N172" s="1644"/>
      <c r="O172" s="1624"/>
      <c r="P172" s="934"/>
      <c r="Q172" s="934"/>
      <c r="R172" s="939"/>
      <c r="S172" s="939"/>
      <c r="T172" s="939"/>
      <c r="U172" s="939"/>
      <c r="V172" s="939"/>
    </row>
    <row r="173" spans="1:22" ht="14.4" thickTop="1" x14ac:dyDescent="0.25">
      <c r="A173" s="937" t="str">
        <f>concrete!A53</f>
        <v>C5.6</v>
      </c>
      <c r="B173" s="1623" t="str">
        <f>concrete!B53</f>
        <v>In Reinforced Slab at second floor level</v>
      </c>
      <c r="C173" s="938"/>
      <c r="D173" s="938"/>
      <c r="E173" s="1624"/>
      <c r="F173" s="1639">
        <v>108</v>
      </c>
      <c r="G173" s="1624"/>
      <c r="H173" s="1639">
        <v>0.125</v>
      </c>
      <c r="I173" s="1639">
        <f>H173*F173</f>
        <v>13.5</v>
      </c>
      <c r="J173" s="1639">
        <f>SUM(I173)</f>
        <v>13.5</v>
      </c>
      <c r="K173" s="1639">
        <f>$K$2</f>
        <v>1.05</v>
      </c>
      <c r="L173" s="1639">
        <f t="shared" ref="L173" si="48">K173*J173</f>
        <v>14.175000000000001</v>
      </c>
      <c r="M173" s="1639">
        <f t="shared" ref="M173" si="49">ROUND(L173,1)</f>
        <v>14.2</v>
      </c>
      <c r="N173" s="1639">
        <f t="shared" ref="N173" si="50">ROUNDUP(M173,0)</f>
        <v>15</v>
      </c>
      <c r="O173" s="1624" t="s">
        <v>693</v>
      </c>
      <c r="P173" s="934"/>
      <c r="Q173" s="934"/>
      <c r="R173" s="939"/>
      <c r="S173" s="939"/>
      <c r="T173" s="939"/>
      <c r="U173" s="939"/>
      <c r="V173" s="939"/>
    </row>
    <row r="174" spans="1:22" ht="14.4" thickBot="1" x14ac:dyDescent="0.3">
      <c r="A174" s="937"/>
      <c r="B174" s="938"/>
      <c r="C174" s="938"/>
      <c r="D174" s="938"/>
      <c r="E174" s="1624"/>
      <c r="F174" s="1624"/>
      <c r="G174" s="1624"/>
      <c r="H174" s="1624"/>
      <c r="I174" s="1624"/>
      <c r="J174" s="1624"/>
      <c r="K174" s="1643"/>
      <c r="L174" s="1643"/>
      <c r="M174" s="1634"/>
      <c r="N174" s="1644"/>
      <c r="O174" s="1624"/>
      <c r="P174" s="934"/>
      <c r="Q174" s="934"/>
      <c r="R174" s="939"/>
      <c r="S174" s="939"/>
      <c r="T174" s="939"/>
      <c r="U174" s="939"/>
      <c r="V174" s="939"/>
    </row>
    <row r="175" spans="1:22" ht="15" thickTop="1" thickBot="1" x14ac:dyDescent="0.3">
      <c r="A175" s="937" t="str">
        <f>concrete!A54</f>
        <v>C5.7</v>
      </c>
      <c r="B175" s="1623" t="str">
        <f>concrete!B54</f>
        <v>In Reinforced slab at Terrace floor level (with Swimming Pool)</v>
      </c>
      <c r="C175" s="938"/>
      <c r="D175" s="938"/>
      <c r="E175" s="1624"/>
      <c r="F175" s="1624">
        <v>32</v>
      </c>
      <c r="G175" s="1624"/>
      <c r="H175" s="1624">
        <v>0.15</v>
      </c>
      <c r="I175" s="1639">
        <f>H175*F175</f>
        <v>4.8</v>
      </c>
      <c r="J175" s="1639">
        <f>SUM(I175)</f>
        <v>4.8</v>
      </c>
      <c r="K175" s="1643">
        <f>$K$2</f>
        <v>1.05</v>
      </c>
      <c r="L175" s="1643">
        <f t="shared" si="17"/>
        <v>5.04</v>
      </c>
      <c r="M175" s="1634">
        <f t="shared" si="18"/>
        <v>5</v>
      </c>
      <c r="N175" s="1644">
        <f t="shared" si="19"/>
        <v>5</v>
      </c>
      <c r="O175" s="1624"/>
      <c r="P175" s="934"/>
      <c r="Q175" s="934"/>
      <c r="R175" s="939"/>
      <c r="S175" s="939"/>
      <c r="T175" s="939"/>
      <c r="U175" s="939"/>
      <c r="V175" s="939"/>
    </row>
    <row r="176" spans="1:22" ht="15" thickTop="1" thickBot="1" x14ac:dyDescent="0.3">
      <c r="A176" s="937"/>
      <c r="B176" s="938"/>
      <c r="C176" s="938"/>
      <c r="D176" s="938"/>
      <c r="E176" s="1624"/>
      <c r="F176" s="1624"/>
      <c r="G176" s="1624"/>
      <c r="H176" s="1624"/>
      <c r="I176" s="1624"/>
      <c r="J176" s="1624"/>
      <c r="K176" s="1643"/>
      <c r="L176" s="1643"/>
      <c r="M176" s="1634"/>
      <c r="N176" s="1644"/>
      <c r="O176" s="1624"/>
      <c r="P176" s="934"/>
      <c r="Q176" s="934"/>
      <c r="R176" s="939"/>
      <c r="S176" s="939"/>
      <c r="T176" s="939"/>
      <c r="U176" s="939"/>
      <c r="V176" s="939"/>
    </row>
    <row r="177" spans="1:22" ht="15" thickTop="1" thickBot="1" x14ac:dyDescent="0.3">
      <c r="A177" s="937" t="str">
        <f>concrete!A69</f>
        <v>D 02</v>
      </c>
      <c r="B177" s="1623" t="str">
        <f>concrete!B70</f>
        <v>Plinth beam</v>
      </c>
      <c r="C177" s="938"/>
      <c r="D177" s="938"/>
      <c r="E177" s="1624"/>
      <c r="F177" s="1624"/>
      <c r="G177" s="1624"/>
      <c r="H177" s="1624"/>
      <c r="I177" s="1624"/>
      <c r="J177" s="1624"/>
      <c r="K177" s="1643"/>
      <c r="L177" s="1643"/>
      <c r="M177" s="1634"/>
      <c r="N177" s="1644"/>
      <c r="O177" s="1624"/>
      <c r="P177" s="934"/>
      <c r="Q177" s="934"/>
      <c r="R177" s="939"/>
      <c r="S177" s="939"/>
      <c r="T177" s="939"/>
      <c r="U177" s="939"/>
      <c r="V177" s="939"/>
    </row>
    <row r="178" spans="1:22" ht="15" thickTop="1" thickBot="1" x14ac:dyDescent="0.3">
      <c r="A178" s="937"/>
      <c r="B178" s="938"/>
      <c r="C178" s="938"/>
      <c r="D178" s="938"/>
      <c r="E178" s="1624"/>
      <c r="F178" s="1624"/>
      <c r="G178" s="1624"/>
      <c r="H178" s="1624"/>
      <c r="I178" s="1624"/>
      <c r="J178" s="1624"/>
      <c r="K178" s="1643"/>
      <c r="L178" s="1643"/>
      <c r="M178" s="1634"/>
      <c r="N178" s="1644"/>
      <c r="O178" s="1624"/>
      <c r="P178" s="934"/>
      <c r="Q178" s="934"/>
      <c r="R178" s="939"/>
      <c r="S178" s="939"/>
      <c r="T178" s="939"/>
      <c r="U178" s="939"/>
      <c r="V178" s="939"/>
    </row>
    <row r="179" spans="1:22" ht="15" thickTop="1" thickBot="1" x14ac:dyDescent="0.3">
      <c r="A179" s="937"/>
      <c r="B179" s="938"/>
      <c r="C179" s="938"/>
      <c r="D179" s="938"/>
      <c r="E179" s="1624"/>
      <c r="F179" s="1624"/>
      <c r="G179" s="1624"/>
      <c r="H179" s="1624"/>
      <c r="I179" s="1624"/>
      <c r="J179" s="1624"/>
      <c r="K179" s="1643"/>
      <c r="L179" s="1643"/>
      <c r="M179" s="1634"/>
      <c r="N179" s="1644"/>
      <c r="O179" s="1624"/>
      <c r="P179" s="934"/>
      <c r="Q179" s="934"/>
      <c r="R179" s="939"/>
      <c r="S179" s="939"/>
      <c r="T179" s="939"/>
      <c r="U179" s="939"/>
      <c r="V179" s="939"/>
    </row>
    <row r="180" spans="1:22" ht="15" thickTop="1" thickBot="1" x14ac:dyDescent="0.3">
      <c r="A180" s="937"/>
      <c r="B180" s="938"/>
      <c r="C180" s="938"/>
      <c r="D180" s="938"/>
      <c r="E180" s="1624"/>
      <c r="F180" s="1624"/>
      <c r="G180" s="1624"/>
      <c r="H180" s="1624"/>
      <c r="I180" s="1624"/>
      <c r="J180" s="1624"/>
      <c r="K180" s="1643"/>
      <c r="L180" s="1643"/>
      <c r="M180" s="1634"/>
      <c r="N180" s="1644"/>
      <c r="O180" s="1624"/>
      <c r="P180" s="934"/>
      <c r="Q180" s="934"/>
      <c r="R180" s="939"/>
      <c r="S180" s="939"/>
      <c r="T180" s="939"/>
      <c r="U180" s="939"/>
      <c r="V180" s="939"/>
    </row>
    <row r="181" spans="1:22" ht="15" thickTop="1" thickBot="1" x14ac:dyDescent="0.3">
      <c r="A181" s="937"/>
      <c r="B181" s="938"/>
      <c r="C181" s="938"/>
      <c r="D181" s="938"/>
      <c r="E181" s="1624"/>
      <c r="F181" s="1624"/>
      <c r="G181" s="1624"/>
      <c r="H181" s="1624"/>
      <c r="I181" s="1624"/>
      <c r="J181" s="1624"/>
      <c r="K181" s="1643"/>
      <c r="L181" s="1643"/>
      <c r="M181" s="1634"/>
      <c r="N181" s="1644"/>
      <c r="O181" s="1624"/>
      <c r="P181" s="934"/>
      <c r="Q181" s="934"/>
      <c r="R181" s="939"/>
      <c r="S181" s="939"/>
      <c r="T181" s="939"/>
      <c r="U181" s="939"/>
      <c r="V181" s="939"/>
    </row>
    <row r="182" spans="1:22" ht="15" thickTop="1" thickBot="1" x14ac:dyDescent="0.3">
      <c r="A182" s="937"/>
      <c r="B182" s="938"/>
      <c r="C182" s="938"/>
      <c r="D182" s="938"/>
      <c r="E182" s="1624"/>
      <c r="F182" s="1624"/>
      <c r="G182" s="1624"/>
      <c r="H182" s="1624"/>
      <c r="I182" s="1624"/>
      <c r="J182" s="1624"/>
      <c r="K182" s="1643"/>
      <c r="L182" s="1643"/>
      <c r="M182" s="1634"/>
      <c r="N182" s="1644"/>
      <c r="O182" s="1624"/>
      <c r="P182" s="934"/>
      <c r="Q182" s="934"/>
      <c r="R182" s="939"/>
      <c r="S182" s="939"/>
      <c r="T182" s="939"/>
      <c r="U182" s="939"/>
      <c r="V182" s="939"/>
    </row>
    <row r="183" spans="1:22" ht="15" thickTop="1" thickBot="1" x14ac:dyDescent="0.3">
      <c r="A183" s="937"/>
      <c r="B183" s="938"/>
      <c r="C183" s="938"/>
      <c r="D183" s="938"/>
      <c r="E183" s="1624"/>
      <c r="F183" s="1624"/>
      <c r="G183" s="1624"/>
      <c r="H183" s="1624"/>
      <c r="I183" s="1624"/>
      <c r="J183" s="1624">
        <f>SUM(I177:I183)</f>
        <v>0</v>
      </c>
      <c r="K183" s="1643">
        <f>$K$2</f>
        <v>1.05</v>
      </c>
      <c r="L183" s="1643">
        <f t="shared" ref="L183" si="51">K183*J183</f>
        <v>0</v>
      </c>
      <c r="M183" s="1634">
        <f t="shared" ref="M183" si="52">ROUND(L183,1)</f>
        <v>0</v>
      </c>
      <c r="N183" s="1644">
        <f t="shared" ref="N183" si="53">ROUNDUP(M183,0)</f>
        <v>0</v>
      </c>
      <c r="O183" s="1624" t="s">
        <v>692</v>
      </c>
      <c r="P183" s="934"/>
      <c r="Q183" s="934"/>
      <c r="R183" s="939"/>
      <c r="S183" s="939"/>
      <c r="T183" s="939"/>
      <c r="U183" s="939"/>
      <c r="V183" s="939"/>
    </row>
    <row r="184" spans="1:22" ht="15" thickTop="1" thickBot="1" x14ac:dyDescent="0.3">
      <c r="A184" s="937"/>
      <c r="B184" s="938"/>
      <c r="C184" s="938"/>
      <c r="D184" s="938"/>
      <c r="E184" s="1624"/>
      <c r="F184" s="1624"/>
      <c r="G184" s="1624"/>
      <c r="H184" s="1624"/>
      <c r="I184" s="1624"/>
      <c r="J184" s="1624"/>
      <c r="K184" s="1643"/>
      <c r="L184" s="1643"/>
      <c r="M184" s="1634"/>
      <c r="N184" s="1644"/>
      <c r="O184" s="1624"/>
      <c r="P184" s="934"/>
      <c r="Q184" s="934"/>
      <c r="R184" s="939"/>
      <c r="S184" s="939"/>
      <c r="T184" s="939"/>
      <c r="U184" s="939"/>
      <c r="V184" s="939"/>
    </row>
    <row r="185" spans="1:22" ht="15" thickTop="1" thickBot="1" x14ac:dyDescent="0.3">
      <c r="A185" s="937"/>
      <c r="B185" s="1623" t="str">
        <f>concrete!B71</f>
        <v xml:space="preserve">Column base </v>
      </c>
      <c r="C185" s="1629"/>
      <c r="D185" s="1629"/>
      <c r="E185" s="1639"/>
      <c r="F185" s="1639"/>
      <c r="G185" s="1639"/>
      <c r="H185" s="1624"/>
      <c r="I185" s="1624"/>
      <c r="J185" s="1624"/>
      <c r="K185" s="1643"/>
      <c r="L185" s="1643"/>
      <c r="M185" s="1634"/>
      <c r="N185" s="1644"/>
      <c r="O185" s="1624"/>
      <c r="P185" s="934"/>
      <c r="Q185" s="934"/>
      <c r="R185" s="939"/>
      <c r="S185" s="939"/>
      <c r="T185" s="939"/>
      <c r="U185" s="939"/>
      <c r="V185" s="939"/>
    </row>
    <row r="186" spans="1:22" ht="15" thickTop="1" thickBot="1" x14ac:dyDescent="0.3">
      <c r="A186" s="937"/>
      <c r="B186" s="938"/>
      <c r="C186" s="938"/>
      <c r="D186" s="1629"/>
      <c r="E186" s="1624"/>
      <c r="F186" s="1624"/>
      <c r="G186" s="1624"/>
      <c r="H186" s="1624"/>
      <c r="I186" s="1624"/>
      <c r="J186" s="1624"/>
      <c r="K186" s="1643"/>
      <c r="L186" s="1643"/>
      <c r="M186" s="1634"/>
      <c r="N186" s="1644"/>
      <c r="O186" s="1624"/>
      <c r="P186" s="934"/>
      <c r="Q186" s="934"/>
      <c r="R186" s="939"/>
      <c r="S186" s="939"/>
      <c r="T186" s="939"/>
      <c r="U186" s="939"/>
      <c r="V186" s="939"/>
    </row>
    <row r="187" spans="1:22" ht="15" thickTop="1" thickBot="1" x14ac:dyDescent="0.3">
      <c r="A187" s="937"/>
      <c r="B187" s="938"/>
      <c r="C187" s="1629"/>
      <c r="D187" s="1629"/>
      <c r="E187" s="1624"/>
      <c r="F187" s="1624"/>
      <c r="G187" s="1624"/>
      <c r="H187" s="1624"/>
      <c r="I187" s="1624"/>
      <c r="J187" s="1624"/>
      <c r="K187" s="1643"/>
      <c r="L187" s="1643"/>
      <c r="M187" s="1634"/>
      <c r="N187" s="1644"/>
      <c r="O187" s="1624"/>
      <c r="P187" s="934"/>
      <c r="Q187" s="934"/>
      <c r="R187" s="939"/>
      <c r="S187" s="939"/>
      <c r="T187" s="939"/>
      <c r="U187" s="939"/>
      <c r="V187" s="939"/>
    </row>
    <row r="188" spans="1:22" ht="15" thickTop="1" thickBot="1" x14ac:dyDescent="0.3">
      <c r="A188" s="937"/>
      <c r="B188" s="938"/>
      <c r="C188" s="938"/>
      <c r="D188" s="1629"/>
      <c r="E188" s="1624"/>
      <c r="F188" s="1624"/>
      <c r="G188" s="1624"/>
      <c r="H188" s="1624"/>
      <c r="I188" s="1624"/>
      <c r="J188" s="1624"/>
      <c r="K188" s="1643"/>
      <c r="L188" s="1643"/>
      <c r="M188" s="1634"/>
      <c r="N188" s="1644"/>
      <c r="O188" s="1624"/>
      <c r="P188" s="934"/>
      <c r="Q188" s="934"/>
      <c r="R188" s="939"/>
      <c r="S188" s="939"/>
      <c r="T188" s="939"/>
      <c r="U188" s="939"/>
      <c r="V188" s="939"/>
    </row>
    <row r="189" spans="1:22" ht="15" thickTop="1" thickBot="1" x14ac:dyDescent="0.3">
      <c r="A189" s="937"/>
      <c r="B189" s="938"/>
      <c r="C189" s="1629"/>
      <c r="D189" s="1629"/>
      <c r="E189" s="1624"/>
      <c r="F189" s="1624"/>
      <c r="G189" s="1624"/>
      <c r="H189" s="1624"/>
      <c r="I189" s="1624"/>
      <c r="J189" s="1624"/>
      <c r="K189" s="1643"/>
      <c r="L189" s="1643"/>
      <c r="M189" s="1634"/>
      <c r="N189" s="1644"/>
      <c r="O189" s="1624"/>
      <c r="P189" s="934"/>
      <c r="Q189" s="934"/>
      <c r="R189" s="939"/>
      <c r="S189" s="939"/>
      <c r="T189" s="939"/>
      <c r="U189" s="939"/>
      <c r="V189" s="939"/>
    </row>
    <row r="190" spans="1:22" ht="15" thickTop="1" thickBot="1" x14ac:dyDescent="0.3">
      <c r="A190" s="937"/>
      <c r="B190" s="938"/>
      <c r="C190" s="938"/>
      <c r="D190" s="1629"/>
      <c r="E190" s="1624"/>
      <c r="F190" s="1624"/>
      <c r="G190" s="1624"/>
      <c r="H190" s="1624"/>
      <c r="I190" s="1624"/>
      <c r="J190" s="1624"/>
      <c r="K190" s="1643"/>
      <c r="L190" s="1643"/>
      <c r="M190" s="1634"/>
      <c r="N190" s="1644"/>
      <c r="O190" s="1624"/>
      <c r="P190" s="934"/>
      <c r="Q190" s="934"/>
      <c r="R190" s="939"/>
      <c r="S190" s="939"/>
      <c r="T190" s="939"/>
      <c r="U190" s="939"/>
      <c r="V190" s="939"/>
    </row>
    <row r="191" spans="1:22" ht="15" thickTop="1" thickBot="1" x14ac:dyDescent="0.3">
      <c r="A191" s="937"/>
      <c r="B191" s="938"/>
      <c r="C191" s="1629"/>
      <c r="D191" s="1629"/>
      <c r="E191" s="1624"/>
      <c r="F191" s="1624"/>
      <c r="G191" s="1624"/>
      <c r="H191" s="1624"/>
      <c r="I191" s="1624"/>
      <c r="J191" s="1624"/>
      <c r="K191" s="1643"/>
      <c r="L191" s="1643"/>
      <c r="M191" s="1634"/>
      <c r="N191" s="1644"/>
      <c r="O191" s="1624"/>
      <c r="P191" s="934"/>
      <c r="Q191" s="934"/>
      <c r="R191" s="939"/>
      <c r="S191" s="939"/>
      <c r="T191" s="939"/>
      <c r="U191" s="939"/>
      <c r="V191" s="939"/>
    </row>
    <row r="192" spans="1:22" ht="15" thickTop="1" thickBot="1" x14ac:dyDescent="0.3">
      <c r="A192" s="937"/>
      <c r="B192" s="938"/>
      <c r="C192" s="938"/>
      <c r="D192" s="1629"/>
      <c r="E192" s="1624"/>
      <c r="F192" s="1624"/>
      <c r="G192" s="1624"/>
      <c r="H192" s="1624"/>
      <c r="I192" s="1624"/>
      <c r="J192" s="1624"/>
      <c r="K192" s="1643"/>
      <c r="L192" s="1643"/>
      <c r="M192" s="1634"/>
      <c r="N192" s="1644"/>
      <c r="O192" s="1624"/>
      <c r="P192" s="934"/>
      <c r="Q192" s="934"/>
      <c r="R192" s="939"/>
      <c r="S192" s="939"/>
      <c r="T192" s="939"/>
      <c r="U192" s="939"/>
      <c r="V192" s="939"/>
    </row>
    <row r="193" spans="1:22" ht="15" thickTop="1" thickBot="1" x14ac:dyDescent="0.3">
      <c r="A193" s="937"/>
      <c r="B193" s="938"/>
      <c r="C193" s="1629"/>
      <c r="D193" s="1629"/>
      <c r="E193" s="1624"/>
      <c r="F193" s="1624"/>
      <c r="G193" s="1624"/>
      <c r="H193" s="1624"/>
      <c r="I193" s="1624"/>
      <c r="J193" s="1624"/>
      <c r="K193" s="1643"/>
      <c r="L193" s="1643"/>
      <c r="M193" s="1634"/>
      <c r="N193" s="1644"/>
      <c r="O193" s="1624"/>
      <c r="P193" s="934"/>
      <c r="Q193" s="934"/>
      <c r="R193" s="939"/>
      <c r="S193" s="939"/>
      <c r="T193" s="939"/>
      <c r="U193" s="939"/>
      <c r="V193" s="939"/>
    </row>
    <row r="194" spans="1:22" ht="15" thickTop="1" thickBot="1" x14ac:dyDescent="0.3">
      <c r="A194" s="937"/>
      <c r="B194" s="938"/>
      <c r="C194" s="938"/>
      <c r="D194" s="1629"/>
      <c r="E194" s="1624"/>
      <c r="F194" s="1624"/>
      <c r="G194" s="1624"/>
      <c r="H194" s="1624"/>
      <c r="I194" s="1624"/>
      <c r="J194" s="1624"/>
      <c r="K194" s="1643"/>
      <c r="L194" s="1643"/>
      <c r="M194" s="1634"/>
      <c r="N194" s="1644"/>
      <c r="O194" s="1624"/>
      <c r="P194" s="934"/>
      <c r="Q194" s="934"/>
      <c r="R194" s="939"/>
      <c r="S194" s="939"/>
      <c r="T194" s="939"/>
      <c r="U194" s="939"/>
      <c r="V194" s="939"/>
    </row>
    <row r="195" spans="1:22" ht="15" thickTop="1" thickBot="1" x14ac:dyDescent="0.3">
      <c r="A195" s="937"/>
      <c r="B195" s="938"/>
      <c r="C195" s="1629"/>
      <c r="D195" s="1629"/>
      <c r="E195" s="1624"/>
      <c r="F195" s="1624"/>
      <c r="G195" s="1624"/>
      <c r="H195" s="1624"/>
      <c r="I195" s="1624"/>
      <c r="J195" s="1624"/>
      <c r="K195" s="1643"/>
      <c r="L195" s="1643"/>
      <c r="M195" s="1634"/>
      <c r="N195" s="1644"/>
      <c r="O195" s="1624"/>
      <c r="P195" s="934"/>
      <c r="Q195" s="934"/>
      <c r="R195" s="939"/>
      <c r="S195" s="939"/>
      <c r="T195" s="939"/>
      <c r="U195" s="939"/>
      <c r="V195" s="939"/>
    </row>
    <row r="196" spans="1:22" ht="15" thickTop="1" thickBot="1" x14ac:dyDescent="0.3">
      <c r="A196" s="937"/>
      <c r="B196" s="938"/>
      <c r="C196" s="938"/>
      <c r="D196" s="1629"/>
      <c r="E196" s="1624"/>
      <c r="F196" s="1624"/>
      <c r="G196" s="1624"/>
      <c r="H196" s="1624"/>
      <c r="I196" s="1624"/>
      <c r="J196" s="1624">
        <f>SUM(I185:I196)</f>
        <v>0</v>
      </c>
      <c r="K196" s="1643">
        <f>$K$2</f>
        <v>1.05</v>
      </c>
      <c r="L196" s="1643">
        <f t="shared" ref="L196" si="54">K196*J196</f>
        <v>0</v>
      </c>
      <c r="M196" s="1634">
        <f t="shared" ref="M196" si="55">ROUND(L196,1)</f>
        <v>0</v>
      </c>
      <c r="N196" s="1644">
        <f t="shared" ref="N196" si="56">ROUNDUP(M196,0)</f>
        <v>0</v>
      </c>
      <c r="O196" s="1624" t="s">
        <v>692</v>
      </c>
      <c r="P196" s="934"/>
      <c r="Q196" s="934"/>
      <c r="R196" s="939"/>
      <c r="S196" s="939"/>
      <c r="T196" s="939"/>
      <c r="U196" s="939"/>
      <c r="V196" s="939"/>
    </row>
    <row r="197" spans="1:22" ht="15" thickTop="1" thickBot="1" x14ac:dyDescent="0.3">
      <c r="A197" s="937"/>
      <c r="B197" s="938"/>
      <c r="C197" s="938"/>
      <c r="D197" s="938"/>
      <c r="E197" s="1624"/>
      <c r="F197" s="1624"/>
      <c r="G197" s="1624"/>
      <c r="H197" s="1624"/>
      <c r="I197" s="1624"/>
      <c r="J197" s="1624"/>
      <c r="K197" s="1643"/>
      <c r="L197" s="1643"/>
      <c r="M197" s="1634"/>
      <c r="N197" s="1644"/>
      <c r="O197" s="1624"/>
      <c r="P197" s="934"/>
      <c r="Q197" s="934"/>
      <c r="R197" s="939"/>
      <c r="S197" s="939"/>
      <c r="T197" s="939"/>
      <c r="U197" s="939"/>
      <c r="V197" s="939"/>
    </row>
    <row r="198" spans="1:22" ht="15" thickTop="1" thickBot="1" x14ac:dyDescent="0.3">
      <c r="A198" s="937"/>
      <c r="B198" s="1623" t="str">
        <f>concrete!B72</f>
        <v>Column Stub</v>
      </c>
      <c r="C198" s="938"/>
      <c r="D198" s="1629"/>
      <c r="E198" s="1624"/>
      <c r="F198" s="1624"/>
      <c r="G198" s="1624"/>
      <c r="H198" s="1624"/>
      <c r="I198" s="1624"/>
      <c r="J198" s="1624"/>
      <c r="K198" s="1643"/>
      <c r="L198" s="1643"/>
      <c r="M198" s="1634"/>
      <c r="N198" s="1644"/>
      <c r="O198" s="1624"/>
      <c r="P198" s="934"/>
      <c r="Q198" s="934"/>
      <c r="R198" s="939"/>
      <c r="S198" s="939"/>
      <c r="T198" s="939"/>
      <c r="U198" s="939"/>
      <c r="V198" s="939"/>
    </row>
    <row r="199" spans="1:22" ht="15" thickTop="1" thickBot="1" x14ac:dyDescent="0.3">
      <c r="A199" s="937"/>
      <c r="B199" s="1623"/>
      <c r="C199" s="938"/>
      <c r="D199" s="1629"/>
      <c r="E199" s="1624"/>
      <c r="F199" s="1624"/>
      <c r="G199" s="1624"/>
      <c r="H199" s="1624"/>
      <c r="I199" s="1624"/>
      <c r="J199" s="1624"/>
      <c r="K199" s="1643"/>
      <c r="L199" s="1643"/>
      <c r="M199" s="1634"/>
      <c r="N199" s="1644"/>
      <c r="O199" s="1624"/>
      <c r="P199" s="934"/>
      <c r="Q199" s="934"/>
      <c r="R199" s="939"/>
      <c r="S199" s="939"/>
      <c r="T199" s="939"/>
      <c r="U199" s="939"/>
      <c r="V199" s="939"/>
    </row>
    <row r="200" spans="1:22" ht="15" thickTop="1" thickBot="1" x14ac:dyDescent="0.3">
      <c r="A200" s="937"/>
      <c r="B200" s="938"/>
      <c r="C200" s="938"/>
      <c r="D200" s="1629"/>
      <c r="E200" s="1624"/>
      <c r="F200" s="1624"/>
      <c r="G200" s="1624"/>
      <c r="H200" s="1624"/>
      <c r="I200" s="1624"/>
      <c r="J200" s="1624"/>
      <c r="K200" s="1643"/>
      <c r="L200" s="1643"/>
      <c r="M200" s="1634"/>
      <c r="N200" s="1644"/>
      <c r="O200" s="1624"/>
      <c r="P200" s="934"/>
      <c r="Q200" s="934"/>
      <c r="R200" s="939"/>
      <c r="S200" s="939"/>
      <c r="T200" s="939"/>
      <c r="U200" s="939"/>
      <c r="V200" s="939"/>
    </row>
    <row r="201" spans="1:22" ht="15" thickTop="1" thickBot="1" x14ac:dyDescent="0.3">
      <c r="A201" s="937"/>
      <c r="B201" s="938"/>
      <c r="C201" s="938"/>
      <c r="D201" s="1629"/>
      <c r="E201" s="1624"/>
      <c r="F201" s="1624"/>
      <c r="G201" s="1624"/>
      <c r="H201" s="1624"/>
      <c r="I201" s="1624"/>
      <c r="J201" s="1624"/>
      <c r="K201" s="1643"/>
      <c r="L201" s="1643"/>
      <c r="M201" s="1634"/>
      <c r="N201" s="1644"/>
      <c r="O201" s="1624"/>
      <c r="P201" s="934"/>
      <c r="Q201" s="934"/>
      <c r="R201" s="939"/>
      <c r="S201" s="939"/>
      <c r="T201" s="939"/>
      <c r="U201" s="939"/>
      <c r="V201" s="939"/>
    </row>
    <row r="202" spans="1:22" ht="15" thickTop="1" thickBot="1" x14ac:dyDescent="0.3">
      <c r="A202" s="937"/>
      <c r="B202" s="938"/>
      <c r="C202" s="938"/>
      <c r="D202" s="1629"/>
      <c r="E202" s="1624"/>
      <c r="F202" s="1624"/>
      <c r="G202" s="1624"/>
      <c r="H202" s="1624"/>
      <c r="I202" s="1624"/>
      <c r="J202" s="1624"/>
      <c r="K202" s="1643"/>
      <c r="L202" s="1643"/>
      <c r="M202" s="1634"/>
      <c r="N202" s="1644"/>
      <c r="O202" s="1624"/>
      <c r="P202" s="934"/>
      <c r="Q202" s="934"/>
      <c r="R202" s="939"/>
      <c r="S202" s="939"/>
      <c r="T202" s="939"/>
      <c r="U202" s="939"/>
      <c r="V202" s="939"/>
    </row>
    <row r="203" spans="1:22" ht="15" thickTop="1" thickBot="1" x14ac:dyDescent="0.3">
      <c r="A203" s="937"/>
      <c r="B203" s="938"/>
      <c r="C203" s="938"/>
      <c r="D203" s="1629"/>
      <c r="E203" s="1624"/>
      <c r="F203" s="1624"/>
      <c r="G203" s="1624"/>
      <c r="H203" s="1624"/>
      <c r="I203" s="1624"/>
      <c r="J203" s="1624"/>
      <c r="K203" s="1643"/>
      <c r="L203" s="1643"/>
      <c r="M203" s="1634"/>
      <c r="N203" s="1644"/>
      <c r="O203" s="1624"/>
      <c r="P203" s="934"/>
      <c r="Q203" s="934"/>
      <c r="R203" s="939"/>
      <c r="S203" s="939"/>
      <c r="T203" s="939"/>
      <c r="U203" s="939"/>
      <c r="V203" s="939"/>
    </row>
    <row r="204" spans="1:22" ht="15" thickTop="1" thickBot="1" x14ac:dyDescent="0.3">
      <c r="A204" s="937"/>
      <c r="B204" s="938"/>
      <c r="C204" s="938"/>
      <c r="D204" s="1629"/>
      <c r="E204" s="1624"/>
      <c r="F204" s="1624"/>
      <c r="G204" s="1624"/>
      <c r="H204" s="1624"/>
      <c r="I204" s="1624"/>
      <c r="J204" s="1624"/>
      <c r="K204" s="1643"/>
      <c r="L204" s="1643"/>
      <c r="M204" s="1634"/>
      <c r="N204" s="1644"/>
      <c r="O204" s="1624"/>
      <c r="P204" s="934"/>
      <c r="Q204" s="934"/>
      <c r="R204" s="939"/>
      <c r="S204" s="939"/>
      <c r="T204" s="939"/>
      <c r="U204" s="939"/>
      <c r="V204" s="939"/>
    </row>
    <row r="205" spans="1:22" ht="15" thickTop="1" thickBot="1" x14ac:dyDescent="0.3">
      <c r="A205" s="937"/>
      <c r="B205" s="938"/>
      <c r="C205" s="938"/>
      <c r="D205" s="1629"/>
      <c r="E205" s="1624"/>
      <c r="F205" s="1624"/>
      <c r="G205" s="1624"/>
      <c r="H205" s="1624"/>
      <c r="I205" s="1624"/>
      <c r="J205" s="1624"/>
      <c r="K205" s="1643"/>
      <c r="L205" s="1643"/>
      <c r="M205" s="1634"/>
      <c r="N205" s="1644"/>
      <c r="O205" s="1624"/>
      <c r="P205" s="934"/>
      <c r="Q205" s="934"/>
      <c r="R205" s="939"/>
      <c r="S205" s="939"/>
      <c r="T205" s="939"/>
      <c r="U205" s="939"/>
      <c r="V205" s="939"/>
    </row>
    <row r="206" spans="1:22" ht="15" thickTop="1" thickBot="1" x14ac:dyDescent="0.3">
      <c r="A206" s="937"/>
      <c r="B206" s="938"/>
      <c r="C206" s="938"/>
      <c r="D206" s="1629"/>
      <c r="E206" s="1624"/>
      <c r="F206" s="1624"/>
      <c r="G206" s="1624"/>
      <c r="H206" s="1624"/>
      <c r="I206" s="1624"/>
      <c r="J206" s="1624"/>
      <c r="K206" s="1643"/>
      <c r="L206" s="1643"/>
      <c r="M206" s="1634"/>
      <c r="N206" s="1644"/>
      <c r="O206" s="1624"/>
      <c r="P206" s="934"/>
      <c r="Q206" s="934"/>
      <c r="R206" s="939"/>
      <c r="S206" s="939"/>
      <c r="T206" s="939"/>
      <c r="U206" s="939"/>
      <c r="V206" s="939"/>
    </row>
    <row r="207" spans="1:22" ht="15" thickTop="1" thickBot="1" x14ac:dyDescent="0.3">
      <c r="A207" s="937"/>
      <c r="B207" s="938"/>
      <c r="C207" s="938"/>
      <c r="D207" s="1629"/>
      <c r="E207" s="1624"/>
      <c r="F207" s="1624"/>
      <c r="G207" s="1624"/>
      <c r="H207" s="1624"/>
      <c r="I207" s="1624"/>
      <c r="J207" s="1624"/>
      <c r="K207" s="1643"/>
      <c r="L207" s="1643"/>
      <c r="M207" s="1634"/>
      <c r="N207" s="1644"/>
      <c r="O207" s="1624"/>
      <c r="P207" s="934"/>
      <c r="Q207" s="934"/>
      <c r="R207" s="939"/>
      <c r="S207" s="939"/>
      <c r="T207" s="939"/>
      <c r="U207" s="939"/>
      <c r="V207" s="939"/>
    </row>
    <row r="208" spans="1:22" ht="15" thickTop="1" thickBot="1" x14ac:dyDescent="0.3">
      <c r="A208" s="937"/>
      <c r="B208" s="938"/>
      <c r="C208" s="938"/>
      <c r="D208" s="1629"/>
      <c r="E208" s="1624"/>
      <c r="F208" s="1624"/>
      <c r="G208" s="1624"/>
      <c r="H208" s="1624"/>
      <c r="I208" s="1624"/>
      <c r="J208" s="1624"/>
      <c r="K208" s="1643"/>
      <c r="L208" s="1643"/>
      <c r="M208" s="1634"/>
      <c r="N208" s="1644"/>
      <c r="O208" s="1624"/>
      <c r="P208" s="934"/>
      <c r="Q208" s="934"/>
      <c r="R208" s="939"/>
      <c r="S208" s="939"/>
      <c r="T208" s="939"/>
      <c r="U208" s="939"/>
      <c r="V208" s="939"/>
    </row>
    <row r="209" spans="1:22" ht="15" thickTop="1" thickBot="1" x14ac:dyDescent="0.3">
      <c r="A209" s="937"/>
      <c r="B209" s="938"/>
      <c r="C209" s="938"/>
      <c r="D209" s="1629"/>
      <c r="E209" s="1624"/>
      <c r="F209" s="1624"/>
      <c r="G209" s="1624"/>
      <c r="H209" s="1624"/>
      <c r="I209" s="1624"/>
      <c r="J209" s="1624"/>
      <c r="K209" s="1643"/>
      <c r="L209" s="1643"/>
      <c r="M209" s="1634"/>
      <c r="N209" s="1644"/>
      <c r="O209" s="1624"/>
      <c r="P209" s="934"/>
      <c r="Q209" s="934"/>
      <c r="R209" s="939"/>
      <c r="S209" s="939"/>
      <c r="T209" s="939"/>
      <c r="U209" s="939"/>
      <c r="V209" s="939"/>
    </row>
    <row r="210" spans="1:22" ht="15" thickTop="1" thickBot="1" x14ac:dyDescent="0.3">
      <c r="A210" s="937"/>
      <c r="B210" s="938"/>
      <c r="C210" s="938"/>
      <c r="D210" s="1629"/>
      <c r="E210" s="1624"/>
      <c r="F210" s="1624"/>
      <c r="G210" s="1624"/>
      <c r="H210" s="1624"/>
      <c r="I210" s="1624"/>
      <c r="J210" s="1624"/>
      <c r="K210" s="1643"/>
      <c r="L210" s="1643"/>
      <c r="M210" s="1634"/>
      <c r="N210" s="1644"/>
      <c r="O210" s="1624"/>
      <c r="P210" s="934"/>
      <c r="Q210" s="934"/>
      <c r="R210" s="939"/>
      <c r="S210" s="939"/>
      <c r="T210" s="939"/>
      <c r="U210" s="939"/>
      <c r="V210" s="939"/>
    </row>
    <row r="211" spans="1:22" ht="15" thickTop="1" thickBot="1" x14ac:dyDescent="0.3">
      <c r="A211" s="937"/>
      <c r="B211" s="938"/>
      <c r="C211" s="938"/>
      <c r="D211" s="1629"/>
      <c r="E211" s="1624"/>
      <c r="F211" s="1624"/>
      <c r="G211" s="1624"/>
      <c r="H211" s="1624"/>
      <c r="I211" s="1624"/>
      <c r="J211" s="1624"/>
      <c r="K211" s="1643"/>
      <c r="L211" s="1643"/>
      <c r="M211" s="1634"/>
      <c r="N211" s="1644"/>
      <c r="O211" s="1624"/>
      <c r="P211" s="934"/>
      <c r="Q211" s="934"/>
      <c r="R211" s="939"/>
      <c r="S211" s="939"/>
      <c r="T211" s="939"/>
      <c r="U211" s="939"/>
      <c r="V211" s="939"/>
    </row>
    <row r="212" spans="1:22" ht="15" thickTop="1" thickBot="1" x14ac:dyDescent="0.3">
      <c r="A212" s="937"/>
      <c r="B212" s="938"/>
      <c r="C212" s="938"/>
      <c r="D212" s="1629"/>
      <c r="E212" s="1624"/>
      <c r="F212" s="1624"/>
      <c r="G212" s="1624"/>
      <c r="H212" s="1624"/>
      <c r="I212" s="1624"/>
      <c r="J212" s="1624"/>
      <c r="K212" s="1643"/>
      <c r="L212" s="1643"/>
      <c r="M212" s="1634"/>
      <c r="N212" s="1644"/>
      <c r="O212" s="1624"/>
      <c r="P212" s="934"/>
      <c r="Q212" s="934"/>
      <c r="R212" s="939"/>
      <c r="S212" s="939"/>
      <c r="T212" s="939"/>
      <c r="U212" s="939"/>
      <c r="V212" s="939"/>
    </row>
    <row r="213" spans="1:22" ht="15" thickTop="1" thickBot="1" x14ac:dyDescent="0.3">
      <c r="A213" s="937"/>
      <c r="B213" s="938"/>
      <c r="C213" s="938"/>
      <c r="D213" s="1629"/>
      <c r="E213" s="1624"/>
      <c r="F213" s="1624"/>
      <c r="G213" s="1624"/>
      <c r="H213" s="1624"/>
      <c r="I213" s="1624"/>
      <c r="J213" s="1624"/>
      <c r="K213" s="1643"/>
      <c r="L213" s="1643"/>
      <c r="M213" s="1634"/>
      <c r="N213" s="1644"/>
      <c r="O213" s="1624"/>
      <c r="P213" s="934"/>
      <c r="Q213" s="934"/>
      <c r="R213" s="939"/>
      <c r="S213" s="939"/>
      <c r="T213" s="939"/>
      <c r="U213" s="939"/>
      <c r="V213" s="939"/>
    </row>
    <row r="214" spans="1:22" ht="15" thickTop="1" thickBot="1" x14ac:dyDescent="0.3">
      <c r="A214" s="937"/>
      <c r="B214" s="938"/>
      <c r="C214" s="938"/>
      <c r="D214" s="1629"/>
      <c r="E214" s="1624"/>
      <c r="F214" s="1624"/>
      <c r="G214" s="1624"/>
      <c r="H214" s="1624"/>
      <c r="I214" s="1624"/>
      <c r="J214" s="1624"/>
      <c r="K214" s="1643"/>
      <c r="L214" s="1643"/>
      <c r="M214" s="1634"/>
      <c r="N214" s="1644"/>
      <c r="O214" s="1624"/>
      <c r="P214" s="934"/>
      <c r="Q214" s="934"/>
      <c r="R214" s="939"/>
      <c r="S214" s="939"/>
      <c r="T214" s="939"/>
      <c r="U214" s="939"/>
      <c r="V214" s="939"/>
    </row>
    <row r="215" spans="1:22" ht="15" thickTop="1" thickBot="1" x14ac:dyDescent="0.3">
      <c r="A215" s="937"/>
      <c r="B215" s="938"/>
      <c r="C215" s="938"/>
      <c r="D215" s="1629"/>
      <c r="E215" s="1624"/>
      <c r="F215" s="1624"/>
      <c r="G215" s="1624"/>
      <c r="H215" s="1624"/>
      <c r="I215" s="1624"/>
      <c r="J215" s="1624"/>
      <c r="K215" s="1643"/>
      <c r="L215" s="1643"/>
      <c r="M215" s="1634"/>
      <c r="N215" s="1644"/>
      <c r="O215" s="1624"/>
      <c r="P215" s="934"/>
      <c r="Q215" s="934"/>
      <c r="R215" s="939"/>
      <c r="S215" s="939"/>
      <c r="T215" s="939"/>
      <c r="U215" s="939"/>
      <c r="V215" s="939"/>
    </row>
    <row r="216" spans="1:22" ht="15" thickTop="1" thickBot="1" x14ac:dyDescent="0.3">
      <c r="A216" s="937"/>
      <c r="B216" s="938"/>
      <c r="C216" s="938"/>
      <c r="D216" s="1629"/>
      <c r="E216" s="1624"/>
      <c r="F216" s="1624"/>
      <c r="G216" s="1624"/>
      <c r="H216" s="1624"/>
      <c r="I216" s="1624"/>
      <c r="J216" s="1624"/>
      <c r="K216" s="1643"/>
      <c r="L216" s="1643"/>
      <c r="M216" s="1634"/>
      <c r="N216" s="1644"/>
      <c r="O216" s="1624"/>
      <c r="P216" s="934"/>
      <c r="Q216" s="934"/>
      <c r="R216" s="939"/>
      <c r="S216" s="939"/>
      <c r="T216" s="939"/>
      <c r="U216" s="939"/>
      <c r="V216" s="939"/>
    </row>
    <row r="217" spans="1:22" ht="15" thickTop="1" thickBot="1" x14ac:dyDescent="0.3">
      <c r="A217" s="937"/>
      <c r="B217" s="938"/>
      <c r="C217" s="938"/>
      <c r="D217" s="1629"/>
      <c r="E217" s="1624"/>
      <c r="F217" s="1624"/>
      <c r="G217" s="1624"/>
      <c r="H217" s="1624"/>
      <c r="I217" s="1624"/>
      <c r="J217" s="1624"/>
      <c r="K217" s="1643"/>
      <c r="L217" s="1643"/>
      <c r="M217" s="1634"/>
      <c r="N217" s="1644"/>
      <c r="O217" s="1624"/>
      <c r="P217" s="934"/>
      <c r="Q217" s="934"/>
      <c r="R217" s="939"/>
      <c r="S217" s="939"/>
      <c r="T217" s="939"/>
      <c r="U217" s="939"/>
      <c r="V217" s="939"/>
    </row>
    <row r="218" spans="1:22" ht="15" thickTop="1" thickBot="1" x14ac:dyDescent="0.3">
      <c r="A218" s="937"/>
      <c r="B218" s="938"/>
      <c r="C218" s="938"/>
      <c r="D218" s="1629"/>
      <c r="E218" s="1624"/>
      <c r="F218" s="1624"/>
      <c r="G218" s="1624"/>
      <c r="H218" s="1624"/>
      <c r="I218" s="1624"/>
      <c r="J218" s="1624"/>
      <c r="K218" s="1643"/>
      <c r="L218" s="1643"/>
      <c r="M218" s="1634"/>
      <c r="N218" s="1644"/>
      <c r="O218" s="1624"/>
      <c r="P218" s="934"/>
      <c r="Q218" s="934"/>
      <c r="R218" s="939"/>
      <c r="S218" s="939"/>
      <c r="T218" s="939"/>
      <c r="U218" s="939"/>
      <c r="V218" s="939"/>
    </row>
    <row r="219" spans="1:22" ht="15" thickTop="1" thickBot="1" x14ac:dyDescent="0.3">
      <c r="A219" s="937"/>
      <c r="B219" s="938"/>
      <c r="C219" s="938"/>
      <c r="D219" s="1629"/>
      <c r="E219" s="1624"/>
      <c r="F219" s="1624"/>
      <c r="G219" s="1624"/>
      <c r="H219" s="1624"/>
      <c r="I219" s="1624"/>
      <c r="J219" s="1624"/>
      <c r="K219" s="1643"/>
      <c r="L219" s="1643"/>
      <c r="M219" s="1634"/>
      <c r="N219" s="1644"/>
      <c r="O219" s="1624"/>
      <c r="P219" s="934"/>
      <c r="Q219" s="934"/>
      <c r="R219" s="939"/>
      <c r="S219" s="939"/>
      <c r="T219" s="939"/>
      <c r="U219" s="939"/>
      <c r="V219" s="939"/>
    </row>
    <row r="220" spans="1:22" ht="15" thickTop="1" thickBot="1" x14ac:dyDescent="0.3">
      <c r="A220" s="937"/>
      <c r="B220" s="938"/>
      <c r="C220" s="938"/>
      <c r="D220" s="1629"/>
      <c r="E220" s="1624"/>
      <c r="F220" s="1624"/>
      <c r="G220" s="1624"/>
      <c r="H220" s="1624"/>
      <c r="I220" s="1624"/>
      <c r="J220" s="1624"/>
      <c r="K220" s="1643"/>
      <c r="L220" s="1643"/>
      <c r="M220" s="1634"/>
      <c r="N220" s="1644"/>
      <c r="O220" s="1624"/>
      <c r="P220" s="934"/>
      <c r="Q220" s="934"/>
      <c r="R220" s="939"/>
      <c r="S220" s="939"/>
      <c r="T220" s="939"/>
      <c r="U220" s="939"/>
      <c r="V220" s="939"/>
    </row>
    <row r="221" spans="1:22" ht="15" thickTop="1" thickBot="1" x14ac:dyDescent="0.3">
      <c r="A221" s="937"/>
      <c r="B221" s="938"/>
      <c r="C221" s="938"/>
      <c r="D221" s="1629"/>
      <c r="E221" s="1624"/>
      <c r="F221" s="1624"/>
      <c r="G221" s="1624"/>
      <c r="H221" s="1624"/>
      <c r="I221" s="1624"/>
      <c r="J221" s="1624"/>
      <c r="K221" s="1643"/>
      <c r="L221" s="1643"/>
      <c r="M221" s="1634"/>
      <c r="N221" s="1644"/>
      <c r="O221" s="1624"/>
      <c r="P221" s="934"/>
      <c r="Q221" s="934"/>
      <c r="R221" s="939"/>
      <c r="S221" s="939"/>
      <c r="T221" s="939"/>
      <c r="U221" s="939"/>
      <c r="V221" s="939"/>
    </row>
    <row r="222" spans="1:22" ht="15" thickTop="1" thickBot="1" x14ac:dyDescent="0.3">
      <c r="A222" s="937"/>
      <c r="B222" s="938"/>
      <c r="C222" s="938"/>
      <c r="D222" s="1629"/>
      <c r="E222" s="1624"/>
      <c r="F222" s="1624"/>
      <c r="G222" s="1624"/>
      <c r="H222" s="1624"/>
      <c r="I222" s="1624"/>
      <c r="J222" s="1624"/>
      <c r="K222" s="1643"/>
      <c r="L222" s="1643"/>
      <c r="M222" s="1634"/>
      <c r="N222" s="1644"/>
      <c r="O222" s="1624"/>
      <c r="P222" s="934"/>
      <c r="Q222" s="934"/>
      <c r="R222" s="939"/>
      <c r="S222" s="939"/>
      <c r="T222" s="939"/>
      <c r="U222" s="939"/>
      <c r="V222" s="939"/>
    </row>
    <row r="223" spans="1:22" ht="15" thickTop="1" thickBot="1" x14ac:dyDescent="0.3">
      <c r="A223" s="937"/>
      <c r="B223" s="938"/>
      <c r="C223" s="938"/>
      <c r="D223" s="1629"/>
      <c r="E223" s="1624"/>
      <c r="F223" s="1624"/>
      <c r="G223" s="1624"/>
      <c r="H223" s="1624"/>
      <c r="I223" s="1624"/>
      <c r="J223" s="1624"/>
      <c r="K223" s="1643"/>
      <c r="L223" s="1643"/>
      <c r="M223" s="1634"/>
      <c r="N223" s="1644"/>
      <c r="O223" s="1624"/>
      <c r="P223" s="934"/>
      <c r="Q223" s="934"/>
      <c r="R223" s="939"/>
      <c r="S223" s="939"/>
      <c r="T223" s="939"/>
      <c r="U223" s="939"/>
      <c r="V223" s="939"/>
    </row>
    <row r="224" spans="1:22" ht="15" thickTop="1" thickBot="1" x14ac:dyDescent="0.3">
      <c r="A224" s="937"/>
      <c r="B224" s="938"/>
      <c r="C224" s="938"/>
      <c r="D224" s="1629"/>
      <c r="E224" s="1624"/>
      <c r="F224" s="1624"/>
      <c r="G224" s="1624"/>
      <c r="H224" s="1624"/>
      <c r="I224" s="1624"/>
      <c r="J224" s="1624"/>
      <c r="K224" s="1643"/>
      <c r="L224" s="1643"/>
      <c r="M224" s="1634"/>
      <c r="N224" s="1644"/>
      <c r="O224" s="1624"/>
      <c r="P224" s="934"/>
      <c r="Q224" s="934"/>
      <c r="R224" s="939"/>
      <c r="S224" s="939"/>
      <c r="T224" s="939"/>
      <c r="U224" s="939"/>
      <c r="V224" s="939"/>
    </row>
    <row r="225" spans="1:22" ht="15" thickTop="1" thickBot="1" x14ac:dyDescent="0.3">
      <c r="A225" s="937"/>
      <c r="B225" s="938"/>
      <c r="C225" s="938"/>
      <c r="D225" s="1629"/>
      <c r="E225" s="1624"/>
      <c r="F225" s="1624"/>
      <c r="G225" s="1624"/>
      <c r="H225" s="1624"/>
      <c r="I225" s="1624"/>
      <c r="J225" s="1624"/>
      <c r="K225" s="1643"/>
      <c r="L225" s="1643"/>
      <c r="M225" s="1634"/>
      <c r="N225" s="1644"/>
      <c r="O225" s="1624"/>
      <c r="P225" s="934"/>
      <c r="Q225" s="934"/>
      <c r="R225" s="939"/>
      <c r="S225" s="939"/>
      <c r="T225" s="939"/>
      <c r="U225" s="939"/>
      <c r="V225" s="939"/>
    </row>
    <row r="226" spans="1:22" ht="15" thickTop="1" thickBot="1" x14ac:dyDescent="0.3">
      <c r="A226" s="937"/>
      <c r="B226" s="938"/>
      <c r="C226" s="938"/>
      <c r="D226" s="1629"/>
      <c r="E226" s="1624"/>
      <c r="F226" s="1624"/>
      <c r="G226" s="1624"/>
      <c r="H226" s="1624"/>
      <c r="I226" s="1624"/>
      <c r="J226" s="1624"/>
      <c r="K226" s="1643"/>
      <c r="L226" s="1643"/>
      <c r="M226" s="1634"/>
      <c r="N226" s="1644"/>
      <c r="O226" s="1624"/>
      <c r="P226" s="934"/>
      <c r="Q226" s="934"/>
      <c r="R226" s="939"/>
      <c r="S226" s="939"/>
      <c r="T226" s="939"/>
      <c r="U226" s="939"/>
      <c r="V226" s="939"/>
    </row>
    <row r="227" spans="1:22" ht="15" thickTop="1" thickBot="1" x14ac:dyDescent="0.3">
      <c r="A227" s="937"/>
      <c r="B227" s="938"/>
      <c r="C227" s="938"/>
      <c r="D227" s="1629"/>
      <c r="E227" s="1624"/>
      <c r="F227" s="1624"/>
      <c r="G227" s="1624"/>
      <c r="H227" s="1624"/>
      <c r="I227" s="1624"/>
      <c r="J227" s="1624"/>
      <c r="K227" s="1643"/>
      <c r="L227" s="1643"/>
      <c r="M227" s="1634"/>
      <c r="N227" s="1644"/>
      <c r="O227" s="1624"/>
      <c r="P227" s="934"/>
      <c r="Q227" s="934"/>
      <c r="R227" s="939"/>
      <c r="S227" s="939"/>
      <c r="T227" s="939"/>
      <c r="U227" s="939"/>
      <c r="V227" s="939"/>
    </row>
    <row r="228" spans="1:22" ht="15" thickTop="1" thickBot="1" x14ac:dyDescent="0.3">
      <c r="A228" s="937"/>
      <c r="B228" s="938"/>
      <c r="C228" s="938"/>
      <c r="D228" s="1629"/>
      <c r="E228" s="1624"/>
      <c r="F228" s="1624"/>
      <c r="G228" s="1624"/>
      <c r="H228" s="1624"/>
      <c r="I228" s="1624"/>
      <c r="J228" s="1624"/>
      <c r="K228" s="1643"/>
      <c r="L228" s="1643"/>
      <c r="M228" s="1634"/>
      <c r="N228" s="1644"/>
      <c r="O228" s="1624"/>
      <c r="P228" s="934"/>
      <c r="Q228" s="934"/>
      <c r="R228" s="939"/>
      <c r="S228" s="939"/>
      <c r="T228" s="939"/>
      <c r="U228" s="939"/>
      <c r="V228" s="939"/>
    </row>
    <row r="229" spans="1:22" ht="15" thickTop="1" thickBot="1" x14ac:dyDescent="0.3">
      <c r="A229" s="937"/>
      <c r="B229" s="938"/>
      <c r="C229" s="938"/>
      <c r="D229" s="1629"/>
      <c r="E229" s="1624"/>
      <c r="F229" s="1624"/>
      <c r="G229" s="1624"/>
      <c r="H229" s="1624"/>
      <c r="I229" s="1624"/>
      <c r="J229" s="1624"/>
      <c r="K229" s="1643"/>
      <c r="L229" s="1643"/>
      <c r="M229" s="1634"/>
      <c r="N229" s="1644"/>
      <c r="O229" s="1624"/>
      <c r="P229" s="934"/>
      <c r="Q229" s="934"/>
      <c r="R229" s="939"/>
      <c r="S229" s="939"/>
      <c r="T229" s="939"/>
      <c r="U229" s="939"/>
      <c r="V229" s="939"/>
    </row>
    <row r="230" spans="1:22" ht="15" thickTop="1" thickBot="1" x14ac:dyDescent="0.3">
      <c r="A230" s="937"/>
      <c r="B230" s="938"/>
      <c r="C230" s="938"/>
      <c r="D230" s="1629"/>
      <c r="E230" s="1624"/>
      <c r="F230" s="1624"/>
      <c r="G230" s="1624"/>
      <c r="H230" s="1624"/>
      <c r="I230" s="1624"/>
      <c r="J230" s="1624"/>
      <c r="K230" s="1643"/>
      <c r="L230" s="1643"/>
      <c r="M230" s="1634"/>
      <c r="N230" s="1644"/>
      <c r="O230" s="1624"/>
      <c r="P230" s="934"/>
      <c r="Q230" s="934"/>
      <c r="R230" s="939"/>
      <c r="S230" s="939"/>
      <c r="T230" s="939"/>
      <c r="U230" s="939"/>
      <c r="V230" s="939"/>
    </row>
    <row r="231" spans="1:22" ht="15" thickTop="1" thickBot="1" x14ac:dyDescent="0.3">
      <c r="A231" s="937"/>
      <c r="B231" s="938"/>
      <c r="C231" s="938"/>
      <c r="D231" s="1629"/>
      <c r="E231" s="1624"/>
      <c r="F231" s="1624"/>
      <c r="G231" s="1624"/>
      <c r="H231" s="1624"/>
      <c r="I231" s="1624"/>
      <c r="J231" s="1624"/>
      <c r="K231" s="1643"/>
      <c r="L231" s="1643"/>
      <c r="M231" s="1634"/>
      <c r="N231" s="1644"/>
      <c r="O231" s="1624"/>
      <c r="P231" s="934"/>
      <c r="Q231" s="934"/>
      <c r="R231" s="939"/>
      <c r="S231" s="939"/>
      <c r="T231" s="939"/>
      <c r="U231" s="939"/>
      <c r="V231" s="939"/>
    </row>
    <row r="232" spans="1:22" ht="15" thickTop="1" thickBot="1" x14ac:dyDescent="0.3">
      <c r="A232" s="937"/>
      <c r="B232" s="938"/>
      <c r="C232" s="938"/>
      <c r="D232" s="1629"/>
      <c r="E232" s="1624"/>
      <c r="F232" s="1624"/>
      <c r="G232" s="1624"/>
      <c r="H232" s="1624"/>
      <c r="I232" s="1624"/>
      <c r="J232" s="1624"/>
      <c r="K232" s="1643"/>
      <c r="L232" s="1643"/>
      <c r="M232" s="1634"/>
      <c r="N232" s="1644"/>
      <c r="O232" s="1624"/>
      <c r="P232" s="934"/>
      <c r="Q232" s="934"/>
      <c r="R232" s="939"/>
      <c r="S232" s="939"/>
      <c r="T232" s="939"/>
      <c r="U232" s="939"/>
      <c r="V232" s="939"/>
    </row>
    <row r="233" spans="1:22" ht="15" thickTop="1" thickBot="1" x14ac:dyDescent="0.3">
      <c r="A233" s="937"/>
      <c r="B233" s="938"/>
      <c r="C233" s="938"/>
      <c r="D233" s="1629"/>
      <c r="E233" s="1624"/>
      <c r="F233" s="1624"/>
      <c r="G233" s="1624"/>
      <c r="H233" s="1624"/>
      <c r="I233" s="1624"/>
      <c r="J233" s="1624">
        <f>SUM(I198:I233)</f>
        <v>0</v>
      </c>
      <c r="K233" s="1643">
        <f>$K$2</f>
        <v>1.05</v>
      </c>
      <c r="L233" s="1643">
        <f t="shared" ref="L233" si="57">K233*J233</f>
        <v>0</v>
      </c>
      <c r="M233" s="1634">
        <f t="shared" ref="M233" si="58">ROUND(L233,1)</f>
        <v>0</v>
      </c>
      <c r="N233" s="1644">
        <f t="shared" ref="N233" si="59">ROUNDUP(M233,0)</f>
        <v>0</v>
      </c>
      <c r="O233" s="1624" t="s">
        <v>692</v>
      </c>
      <c r="P233" s="934"/>
      <c r="Q233" s="934"/>
      <c r="R233" s="939"/>
      <c r="S233" s="939"/>
      <c r="T233" s="939"/>
      <c r="U233" s="939"/>
      <c r="V233" s="939"/>
    </row>
    <row r="234" spans="1:22" ht="15" thickTop="1" thickBot="1" x14ac:dyDescent="0.3">
      <c r="A234" s="937"/>
      <c r="B234" s="938"/>
      <c r="C234" s="938"/>
      <c r="D234" s="938"/>
      <c r="E234" s="1624"/>
      <c r="F234" s="1624"/>
      <c r="G234" s="1624"/>
      <c r="H234" s="1624"/>
      <c r="I234" s="1624"/>
      <c r="J234" s="1624"/>
      <c r="K234" s="1643"/>
      <c r="L234" s="1643"/>
      <c r="M234" s="1634"/>
      <c r="N234" s="1644"/>
      <c r="O234" s="1624"/>
      <c r="P234" s="934"/>
      <c r="Q234" s="934"/>
      <c r="R234" s="939"/>
      <c r="S234" s="939"/>
      <c r="T234" s="939"/>
      <c r="U234" s="939"/>
      <c r="V234" s="939"/>
    </row>
    <row r="235" spans="1:22" s="1650" customFormat="1" ht="15" thickTop="1" thickBot="1" x14ac:dyDescent="0.3">
      <c r="A235" s="1646" t="str">
        <f>concrete!A76</f>
        <v>D 3.1</v>
      </c>
      <c r="B235" s="1647" t="str">
        <f>concrete!B76</f>
        <v>In column from ground floor level to First floor level</v>
      </c>
      <c r="C235" s="938"/>
      <c r="D235" s="938"/>
      <c r="E235" s="1624"/>
      <c r="F235" s="1624"/>
      <c r="G235" s="1624"/>
      <c r="H235" s="1624"/>
      <c r="I235" s="1624"/>
      <c r="J235" s="1639"/>
      <c r="K235" s="1640"/>
      <c r="L235" s="1640"/>
      <c r="M235" s="1641"/>
      <c r="N235" s="1642"/>
      <c r="O235" s="1639"/>
      <c r="P235" s="1648"/>
      <c r="Q235" s="1648"/>
      <c r="R235" s="1649"/>
      <c r="S235" s="1649"/>
      <c r="T235" s="1649"/>
      <c r="U235" s="1649"/>
      <c r="V235" s="1649"/>
    </row>
    <row r="236" spans="1:22" s="1650" customFormat="1" ht="15" thickTop="1" thickBot="1" x14ac:dyDescent="0.3">
      <c r="A236" s="1646"/>
      <c r="B236" s="1647"/>
      <c r="C236" s="938"/>
      <c r="D236" s="938"/>
      <c r="E236" s="1624"/>
      <c r="F236" s="1624"/>
      <c r="G236" s="1624"/>
      <c r="H236" s="1624"/>
      <c r="I236" s="1624"/>
      <c r="J236" s="1639"/>
      <c r="K236" s="1640"/>
      <c r="L236" s="1640"/>
      <c r="M236" s="1641"/>
      <c r="N236" s="1642"/>
      <c r="O236" s="1639"/>
      <c r="P236" s="1648"/>
      <c r="Q236" s="1648"/>
      <c r="R236" s="1649"/>
      <c r="S236" s="1649"/>
      <c r="T236" s="1649"/>
      <c r="U236" s="1649"/>
      <c r="V236" s="1649"/>
    </row>
    <row r="237" spans="1:22" ht="15" thickTop="1" thickBot="1" x14ac:dyDescent="0.3">
      <c r="A237" s="937"/>
      <c r="B237" s="938"/>
      <c r="C237" s="938"/>
      <c r="D237" s="938"/>
      <c r="E237" s="1624"/>
      <c r="F237" s="1624"/>
      <c r="G237" s="1624"/>
      <c r="H237" s="1624"/>
      <c r="I237" s="1624"/>
      <c r="J237" s="1624"/>
      <c r="K237" s="1643"/>
      <c r="L237" s="1643"/>
      <c r="M237" s="1634"/>
      <c r="N237" s="1644"/>
      <c r="O237" s="1624"/>
      <c r="P237" s="934"/>
      <c r="Q237" s="934"/>
      <c r="R237" s="939"/>
      <c r="S237" s="939"/>
      <c r="T237" s="939"/>
      <c r="U237" s="939"/>
      <c r="V237" s="939"/>
    </row>
    <row r="238" spans="1:22" ht="15" thickTop="1" thickBot="1" x14ac:dyDescent="0.3">
      <c r="A238" s="937"/>
      <c r="B238" s="938"/>
      <c r="C238" s="938"/>
      <c r="D238" s="938"/>
      <c r="E238" s="1624"/>
      <c r="F238" s="1624"/>
      <c r="G238" s="1624"/>
      <c r="H238" s="1624"/>
      <c r="I238" s="1624"/>
      <c r="J238" s="1624"/>
      <c r="K238" s="1643"/>
      <c r="L238" s="1643"/>
      <c r="M238" s="1634"/>
      <c r="N238" s="1644"/>
      <c r="O238" s="1624"/>
      <c r="P238" s="934"/>
      <c r="Q238" s="934"/>
      <c r="R238" s="939"/>
      <c r="S238" s="939"/>
      <c r="T238" s="939"/>
      <c r="U238" s="939"/>
      <c r="V238" s="939"/>
    </row>
    <row r="239" spans="1:22" ht="15" thickTop="1" thickBot="1" x14ac:dyDescent="0.3">
      <c r="A239" s="937"/>
      <c r="B239" s="938"/>
      <c r="C239" s="938"/>
      <c r="D239" s="938"/>
      <c r="E239" s="1624"/>
      <c r="F239" s="1624"/>
      <c r="G239" s="1624"/>
      <c r="H239" s="1624"/>
      <c r="I239" s="1624"/>
      <c r="J239" s="1624"/>
      <c r="K239" s="1643"/>
      <c r="L239" s="1643"/>
      <c r="M239" s="1634"/>
      <c r="N239" s="1644"/>
      <c r="O239" s="1624"/>
      <c r="P239" s="934"/>
      <c r="Q239" s="934"/>
      <c r="R239" s="939"/>
      <c r="S239" s="939"/>
      <c r="T239" s="939"/>
      <c r="U239" s="939"/>
      <c r="V239" s="939"/>
    </row>
    <row r="240" spans="1:22" ht="15" thickTop="1" thickBot="1" x14ac:dyDescent="0.3">
      <c r="A240" s="937"/>
      <c r="B240" s="938"/>
      <c r="C240" s="938"/>
      <c r="D240" s="938"/>
      <c r="E240" s="1624"/>
      <c r="F240" s="1624"/>
      <c r="G240" s="1624"/>
      <c r="H240" s="1624"/>
      <c r="I240" s="1624"/>
      <c r="J240" s="1624"/>
      <c r="K240" s="1643"/>
      <c r="L240" s="1643"/>
      <c r="M240" s="1634"/>
      <c r="N240" s="1644"/>
      <c r="O240" s="1624"/>
      <c r="P240" s="934"/>
      <c r="Q240" s="934"/>
      <c r="R240" s="939"/>
      <c r="S240" s="939"/>
      <c r="T240" s="939"/>
      <c r="U240" s="939"/>
      <c r="V240" s="939"/>
    </row>
    <row r="241" spans="1:22" ht="15" thickTop="1" thickBot="1" x14ac:dyDescent="0.3">
      <c r="A241" s="937"/>
      <c r="B241" s="938"/>
      <c r="C241" s="938"/>
      <c r="D241" s="938"/>
      <c r="E241" s="1624"/>
      <c r="F241" s="1624"/>
      <c r="G241" s="1624"/>
      <c r="H241" s="1624"/>
      <c r="I241" s="1624"/>
      <c r="J241" s="1624"/>
      <c r="K241" s="1643"/>
      <c r="L241" s="1643"/>
      <c r="M241" s="1634"/>
      <c r="N241" s="1644"/>
      <c r="O241" s="1624"/>
      <c r="P241" s="934"/>
      <c r="Q241" s="934"/>
      <c r="R241" s="939"/>
      <c r="S241" s="939"/>
      <c r="T241" s="939"/>
      <c r="U241" s="939"/>
      <c r="V241" s="939"/>
    </row>
    <row r="242" spans="1:22" ht="15" thickTop="1" thickBot="1" x14ac:dyDescent="0.3">
      <c r="A242" s="937"/>
      <c r="B242" s="938"/>
      <c r="C242" s="938"/>
      <c r="D242" s="938"/>
      <c r="E242" s="1624"/>
      <c r="F242" s="1624"/>
      <c r="G242" s="1624"/>
      <c r="H242" s="1624"/>
      <c r="I242" s="1624"/>
      <c r="J242" s="1624"/>
      <c r="K242" s="1643"/>
      <c r="L242" s="1643"/>
      <c r="M242" s="1634"/>
      <c r="N242" s="1644"/>
      <c r="O242" s="1624"/>
      <c r="P242" s="934"/>
      <c r="Q242" s="934"/>
      <c r="R242" s="939"/>
      <c r="S242" s="939"/>
      <c r="T242" s="939"/>
      <c r="U242" s="939"/>
      <c r="V242" s="939"/>
    </row>
    <row r="243" spans="1:22" ht="15" thickTop="1" thickBot="1" x14ac:dyDescent="0.3">
      <c r="A243" s="937"/>
      <c r="B243" s="938"/>
      <c r="C243" s="938"/>
      <c r="D243" s="938"/>
      <c r="E243" s="1624"/>
      <c r="F243" s="1624"/>
      <c r="G243" s="1624"/>
      <c r="H243" s="1624"/>
      <c r="I243" s="1624"/>
      <c r="J243" s="1624"/>
      <c r="K243" s="1643"/>
      <c r="L243" s="1643"/>
      <c r="M243" s="1634"/>
      <c r="N243" s="1644"/>
      <c r="O243" s="1624"/>
      <c r="P243" s="934"/>
      <c r="Q243" s="934"/>
      <c r="R243" s="939"/>
      <c r="S243" s="939"/>
      <c r="T243" s="939"/>
      <c r="U243" s="939"/>
      <c r="V243" s="939"/>
    </row>
    <row r="244" spans="1:22" ht="15" thickTop="1" thickBot="1" x14ac:dyDescent="0.3">
      <c r="A244" s="937"/>
      <c r="B244" s="938"/>
      <c r="C244" s="938"/>
      <c r="D244" s="938"/>
      <c r="E244" s="1624"/>
      <c r="F244" s="1624"/>
      <c r="G244" s="1624"/>
      <c r="H244" s="1624"/>
      <c r="I244" s="1624"/>
      <c r="J244" s="1624"/>
      <c r="K244" s="1643"/>
      <c r="L244" s="1643"/>
      <c r="M244" s="1634"/>
      <c r="N244" s="1644"/>
      <c r="O244" s="1624"/>
      <c r="P244" s="934"/>
      <c r="Q244" s="934"/>
      <c r="R244" s="939"/>
      <c r="S244" s="939"/>
      <c r="T244" s="939"/>
      <c r="U244" s="939"/>
      <c r="V244" s="939"/>
    </row>
    <row r="245" spans="1:22" ht="15" thickTop="1" thickBot="1" x14ac:dyDescent="0.3">
      <c r="A245" s="937"/>
      <c r="B245" s="938"/>
      <c r="C245" s="938"/>
      <c r="D245" s="938"/>
      <c r="E245" s="1624"/>
      <c r="F245" s="1624"/>
      <c r="G245" s="1624"/>
      <c r="H245" s="1624"/>
      <c r="I245" s="1624"/>
      <c r="J245" s="1624"/>
      <c r="K245" s="1643"/>
      <c r="L245" s="1643"/>
      <c r="M245" s="1634"/>
      <c r="N245" s="1644"/>
      <c r="O245" s="1624"/>
      <c r="P245" s="934"/>
      <c r="Q245" s="934"/>
      <c r="R245" s="939"/>
      <c r="S245" s="939"/>
      <c r="T245" s="939"/>
      <c r="U245" s="939"/>
      <c r="V245" s="939"/>
    </row>
    <row r="246" spans="1:22" ht="15" thickTop="1" thickBot="1" x14ac:dyDescent="0.3">
      <c r="A246" s="937"/>
      <c r="B246" s="938"/>
      <c r="C246" s="938"/>
      <c r="D246" s="938"/>
      <c r="E246" s="1624"/>
      <c r="F246" s="1624"/>
      <c r="G246" s="1624"/>
      <c r="H246" s="1624"/>
      <c r="I246" s="1624"/>
      <c r="J246" s="1624"/>
      <c r="K246" s="1643"/>
      <c r="L246" s="1643"/>
      <c r="M246" s="1634"/>
      <c r="N246" s="1644"/>
      <c r="O246" s="1624"/>
      <c r="P246" s="934"/>
      <c r="Q246" s="934"/>
      <c r="R246" s="939"/>
      <c r="S246" s="939"/>
      <c r="T246" s="939"/>
      <c r="U246" s="939"/>
      <c r="V246" s="939"/>
    </row>
    <row r="247" spans="1:22" ht="15" thickTop="1" thickBot="1" x14ac:dyDescent="0.3">
      <c r="A247" s="937"/>
      <c r="B247" s="938"/>
      <c r="C247" s="938"/>
      <c r="D247" s="938"/>
      <c r="E247" s="1624"/>
      <c r="F247" s="1624"/>
      <c r="G247" s="1624"/>
      <c r="H247" s="1624"/>
      <c r="I247" s="1624"/>
      <c r="J247" s="1624"/>
      <c r="K247" s="1643"/>
      <c r="L247" s="1643"/>
      <c r="M247" s="1634"/>
      <c r="N247" s="1644"/>
      <c r="O247" s="1624"/>
      <c r="P247" s="934"/>
      <c r="Q247" s="934"/>
      <c r="R247" s="939"/>
      <c r="S247" s="939"/>
      <c r="T247" s="939"/>
      <c r="U247" s="939"/>
      <c r="V247" s="939"/>
    </row>
    <row r="248" spans="1:22" ht="15" thickTop="1" thickBot="1" x14ac:dyDescent="0.3">
      <c r="A248" s="937"/>
      <c r="B248" s="938"/>
      <c r="C248" s="938"/>
      <c r="D248" s="938"/>
      <c r="E248" s="1624"/>
      <c r="F248" s="1624"/>
      <c r="G248" s="1624"/>
      <c r="H248" s="1624"/>
      <c r="I248" s="1624"/>
      <c r="J248" s="1624"/>
      <c r="K248" s="1643"/>
      <c r="L248" s="1643"/>
      <c r="M248" s="1634"/>
      <c r="N248" s="1644"/>
      <c r="O248" s="1624"/>
      <c r="P248" s="934"/>
      <c r="Q248" s="934"/>
      <c r="R248" s="939"/>
      <c r="S248" s="939"/>
      <c r="T248" s="939"/>
      <c r="U248" s="939"/>
      <c r="V248" s="939"/>
    </row>
    <row r="249" spans="1:22" ht="15" thickTop="1" thickBot="1" x14ac:dyDescent="0.3">
      <c r="A249" s="937"/>
      <c r="B249" s="938"/>
      <c r="C249" s="938"/>
      <c r="D249" s="938"/>
      <c r="E249" s="1624"/>
      <c r="F249" s="1624"/>
      <c r="G249" s="1624"/>
      <c r="H249" s="1624"/>
      <c r="I249" s="1624"/>
      <c r="J249" s="1624"/>
      <c r="K249" s="1643"/>
      <c r="L249" s="1643"/>
      <c r="M249" s="1634"/>
      <c r="N249" s="1644"/>
      <c r="O249" s="1624"/>
      <c r="P249" s="934"/>
      <c r="Q249" s="934"/>
      <c r="R249" s="939"/>
      <c r="S249" s="939"/>
      <c r="T249" s="939"/>
      <c r="U249" s="939"/>
      <c r="V249" s="939"/>
    </row>
    <row r="250" spans="1:22" ht="15" thickTop="1" thickBot="1" x14ac:dyDescent="0.3">
      <c r="A250" s="937"/>
      <c r="B250" s="938"/>
      <c r="C250" s="938"/>
      <c r="D250" s="938"/>
      <c r="E250" s="1624"/>
      <c r="F250" s="1624"/>
      <c r="G250" s="1624"/>
      <c r="H250" s="1624"/>
      <c r="I250" s="1624"/>
      <c r="J250" s="1624"/>
      <c r="K250" s="1643"/>
      <c r="L250" s="1643"/>
      <c r="M250" s="1634"/>
      <c r="N250" s="1644"/>
      <c r="O250" s="1624"/>
      <c r="P250" s="934"/>
      <c r="Q250" s="934"/>
      <c r="R250" s="939"/>
      <c r="S250" s="939"/>
      <c r="T250" s="939"/>
      <c r="U250" s="939"/>
      <c r="V250" s="939"/>
    </row>
    <row r="251" spans="1:22" ht="15" thickTop="1" thickBot="1" x14ac:dyDescent="0.3">
      <c r="A251" s="937"/>
      <c r="B251" s="938"/>
      <c r="C251" s="938"/>
      <c r="D251" s="938"/>
      <c r="E251" s="1624"/>
      <c r="F251" s="1624"/>
      <c r="G251" s="1624"/>
      <c r="H251" s="1624"/>
      <c r="I251" s="1624"/>
      <c r="J251" s="1624"/>
      <c r="K251" s="1643"/>
      <c r="L251" s="1643"/>
      <c r="M251" s="1634"/>
      <c r="N251" s="1644"/>
      <c r="O251" s="1624"/>
      <c r="P251" s="934"/>
      <c r="Q251" s="934"/>
      <c r="R251" s="939"/>
      <c r="S251" s="939"/>
      <c r="T251" s="939"/>
      <c r="U251" s="939"/>
      <c r="V251" s="939"/>
    </row>
    <row r="252" spans="1:22" ht="15" thickTop="1" thickBot="1" x14ac:dyDescent="0.3">
      <c r="A252" s="937"/>
      <c r="B252" s="938"/>
      <c r="C252" s="938"/>
      <c r="D252" s="938"/>
      <c r="E252" s="1624"/>
      <c r="F252" s="1624"/>
      <c r="G252" s="1624"/>
      <c r="H252" s="1624"/>
      <c r="I252" s="1624"/>
      <c r="J252" s="1624"/>
      <c r="K252" s="1643"/>
      <c r="L252" s="1643"/>
      <c r="M252" s="1634"/>
      <c r="N252" s="1644"/>
      <c r="O252" s="1624"/>
      <c r="P252" s="934"/>
      <c r="Q252" s="934"/>
      <c r="R252" s="939"/>
      <c r="S252" s="939"/>
      <c r="T252" s="939"/>
      <c r="U252" s="939"/>
      <c r="V252" s="939"/>
    </row>
    <row r="253" spans="1:22" ht="15" thickTop="1" thickBot="1" x14ac:dyDescent="0.3">
      <c r="A253" s="937"/>
      <c r="B253" s="938"/>
      <c r="C253" s="938"/>
      <c r="D253" s="938"/>
      <c r="E253" s="1624"/>
      <c r="F253" s="1624"/>
      <c r="G253" s="1624"/>
      <c r="H253" s="1624"/>
      <c r="I253" s="1624"/>
      <c r="J253" s="1624"/>
      <c r="K253" s="1643"/>
      <c r="L253" s="1643"/>
      <c r="M253" s="1634"/>
      <c r="N253" s="1644"/>
      <c r="O253" s="1624"/>
      <c r="P253" s="934"/>
      <c r="Q253" s="934"/>
      <c r="R253" s="939"/>
      <c r="S253" s="939"/>
      <c r="T253" s="939"/>
      <c r="U253" s="939"/>
      <c r="V253" s="939"/>
    </row>
    <row r="254" spans="1:22" ht="15" thickTop="1" thickBot="1" x14ac:dyDescent="0.3">
      <c r="A254" s="937"/>
      <c r="B254" s="938"/>
      <c r="C254" s="938"/>
      <c r="D254" s="938"/>
      <c r="E254" s="1624"/>
      <c r="F254" s="1624"/>
      <c r="G254" s="1624"/>
      <c r="H254" s="1624"/>
      <c r="I254" s="1624"/>
      <c r="J254" s="1624"/>
      <c r="K254" s="1643"/>
      <c r="L254" s="1643"/>
      <c r="M254" s="1634"/>
      <c r="N254" s="1644"/>
      <c r="O254" s="1624"/>
      <c r="P254" s="934"/>
      <c r="Q254" s="934"/>
      <c r="R254" s="939"/>
      <c r="S254" s="939"/>
      <c r="T254" s="939"/>
      <c r="U254" s="939"/>
      <c r="V254" s="939"/>
    </row>
    <row r="255" spans="1:22" ht="15" thickTop="1" thickBot="1" x14ac:dyDescent="0.3">
      <c r="A255" s="937"/>
      <c r="B255" s="938"/>
      <c r="C255" s="938"/>
      <c r="D255" s="938"/>
      <c r="E255" s="1624"/>
      <c r="F255" s="1624"/>
      <c r="G255" s="1624"/>
      <c r="H255" s="1624"/>
      <c r="I255" s="1624"/>
      <c r="J255" s="1624"/>
      <c r="K255" s="1643"/>
      <c r="L255" s="1643"/>
      <c r="M255" s="1634"/>
      <c r="N255" s="1644"/>
      <c r="O255" s="1624"/>
      <c r="P255" s="934"/>
      <c r="Q255" s="934"/>
      <c r="R255" s="939"/>
      <c r="S255" s="939"/>
      <c r="T255" s="939"/>
      <c r="U255" s="939"/>
      <c r="V255" s="939"/>
    </row>
    <row r="256" spans="1:22" ht="15" thickTop="1" thickBot="1" x14ac:dyDescent="0.3">
      <c r="A256" s="937"/>
      <c r="B256" s="938"/>
      <c r="C256" s="938"/>
      <c r="D256" s="938"/>
      <c r="E256" s="1624"/>
      <c r="F256" s="1624"/>
      <c r="G256" s="1624"/>
      <c r="H256" s="1624"/>
      <c r="I256" s="1624"/>
      <c r="J256" s="1624"/>
      <c r="K256" s="1643"/>
      <c r="L256" s="1643"/>
      <c r="M256" s="1634"/>
      <c r="N256" s="1644"/>
      <c r="O256" s="1624"/>
      <c r="P256" s="934"/>
      <c r="Q256" s="934"/>
      <c r="R256" s="939"/>
      <c r="S256" s="939"/>
      <c r="T256" s="939"/>
      <c r="U256" s="939"/>
      <c r="V256" s="939"/>
    </row>
    <row r="257" spans="1:22" ht="15" thickTop="1" thickBot="1" x14ac:dyDescent="0.3">
      <c r="A257" s="937"/>
      <c r="B257" s="938"/>
      <c r="C257" s="938"/>
      <c r="D257" s="938"/>
      <c r="E257" s="1624"/>
      <c r="F257" s="1624"/>
      <c r="G257" s="1624"/>
      <c r="H257" s="1624"/>
      <c r="I257" s="1624"/>
      <c r="J257" s="1624"/>
      <c r="K257" s="1643"/>
      <c r="L257" s="1643"/>
      <c r="M257" s="1634"/>
      <c r="N257" s="1644"/>
      <c r="O257" s="1624"/>
      <c r="P257" s="934"/>
      <c r="Q257" s="934"/>
      <c r="R257" s="939"/>
      <c r="S257" s="939"/>
      <c r="T257" s="939"/>
      <c r="U257" s="939"/>
      <c r="V257" s="939"/>
    </row>
    <row r="258" spans="1:22" ht="15" thickTop="1" thickBot="1" x14ac:dyDescent="0.3">
      <c r="A258" s="937"/>
      <c r="B258" s="938"/>
      <c r="C258" s="938"/>
      <c r="D258" s="938"/>
      <c r="E258" s="1624"/>
      <c r="F258" s="1624"/>
      <c r="G258" s="1624"/>
      <c r="H258" s="1624"/>
      <c r="I258" s="1624"/>
      <c r="J258" s="1624"/>
      <c r="K258" s="1643"/>
      <c r="L258" s="1643"/>
      <c r="M258" s="1634"/>
      <c r="N258" s="1644"/>
      <c r="O258" s="1624"/>
      <c r="P258" s="934"/>
      <c r="Q258" s="934"/>
      <c r="R258" s="939"/>
      <c r="S258" s="939"/>
      <c r="T258" s="939"/>
      <c r="U258" s="939"/>
      <c r="V258" s="939"/>
    </row>
    <row r="259" spans="1:22" ht="15" thickTop="1" thickBot="1" x14ac:dyDescent="0.3">
      <c r="A259" s="937"/>
      <c r="B259" s="938"/>
      <c r="C259" s="938"/>
      <c r="D259" s="938"/>
      <c r="E259" s="1624"/>
      <c r="F259" s="1624"/>
      <c r="G259" s="1624"/>
      <c r="H259" s="1624"/>
      <c r="I259" s="1624"/>
      <c r="J259" s="1624"/>
      <c r="K259" s="1643"/>
      <c r="L259" s="1643"/>
      <c r="M259" s="1634"/>
      <c r="N259" s="1644"/>
      <c r="O259" s="1624"/>
      <c r="P259" s="934"/>
      <c r="Q259" s="934"/>
      <c r="R259" s="939"/>
      <c r="S259" s="939"/>
      <c r="T259" s="939"/>
      <c r="U259" s="939"/>
      <c r="V259" s="939"/>
    </row>
    <row r="260" spans="1:22" ht="15" thickTop="1" thickBot="1" x14ac:dyDescent="0.3">
      <c r="A260" s="937"/>
      <c r="B260" s="938"/>
      <c r="C260" s="938"/>
      <c r="D260" s="938"/>
      <c r="E260" s="1624"/>
      <c r="F260" s="1624"/>
      <c r="G260" s="1624"/>
      <c r="H260" s="1624"/>
      <c r="I260" s="1624"/>
      <c r="J260" s="1624"/>
      <c r="K260" s="1643"/>
      <c r="L260" s="1643"/>
      <c r="M260" s="1634"/>
      <c r="N260" s="1644"/>
      <c r="O260" s="1624"/>
      <c r="P260" s="934"/>
      <c r="Q260" s="934"/>
      <c r="R260" s="939"/>
      <c r="S260" s="939"/>
      <c r="T260" s="939"/>
      <c r="U260" s="939"/>
      <c r="V260" s="939"/>
    </row>
    <row r="261" spans="1:22" ht="15" thickTop="1" thickBot="1" x14ac:dyDescent="0.3">
      <c r="A261" s="937"/>
      <c r="B261" s="938"/>
      <c r="C261" s="938"/>
      <c r="D261" s="938"/>
      <c r="E261" s="1624"/>
      <c r="F261" s="1624"/>
      <c r="G261" s="1624"/>
      <c r="H261" s="1624"/>
      <c r="I261" s="1624"/>
      <c r="J261" s="1624"/>
      <c r="K261" s="1643"/>
      <c r="L261" s="1643"/>
      <c r="M261" s="1634"/>
      <c r="N261" s="1644"/>
      <c r="O261" s="1624"/>
      <c r="P261" s="934"/>
      <c r="Q261" s="934"/>
      <c r="R261" s="939"/>
      <c r="S261" s="939"/>
      <c r="T261" s="939"/>
      <c r="U261" s="939"/>
      <c r="V261" s="939"/>
    </row>
    <row r="262" spans="1:22" ht="15" thickTop="1" thickBot="1" x14ac:dyDescent="0.3">
      <c r="A262" s="937"/>
      <c r="B262" s="938"/>
      <c r="C262" s="938"/>
      <c r="D262" s="938"/>
      <c r="E262" s="1624"/>
      <c r="F262" s="1624"/>
      <c r="G262" s="1624"/>
      <c r="H262" s="1624"/>
      <c r="I262" s="1624"/>
      <c r="J262" s="1624"/>
      <c r="K262" s="1643"/>
      <c r="L262" s="1643"/>
      <c r="M262" s="1634"/>
      <c r="N262" s="1644"/>
      <c r="O262" s="1624"/>
      <c r="P262" s="934"/>
      <c r="Q262" s="934"/>
      <c r="R262" s="939"/>
      <c r="S262" s="939"/>
      <c r="T262" s="939"/>
      <c r="U262" s="939"/>
      <c r="V262" s="939"/>
    </row>
    <row r="263" spans="1:22" ht="15" thickTop="1" thickBot="1" x14ac:dyDescent="0.3">
      <c r="A263" s="937"/>
      <c r="B263" s="938"/>
      <c r="C263" s="938"/>
      <c r="D263" s="938"/>
      <c r="E263" s="1624"/>
      <c r="F263" s="1624"/>
      <c r="G263" s="1624"/>
      <c r="H263" s="1624"/>
      <c r="I263" s="1624"/>
      <c r="J263" s="1624"/>
      <c r="K263" s="1643"/>
      <c r="L263" s="1643"/>
      <c r="M263" s="1634"/>
      <c r="N263" s="1644"/>
      <c r="O263" s="1624"/>
      <c r="P263" s="934"/>
      <c r="Q263" s="934"/>
      <c r="R263" s="939"/>
      <c r="S263" s="939"/>
      <c r="T263" s="939"/>
      <c r="U263" s="939"/>
      <c r="V263" s="939"/>
    </row>
    <row r="264" spans="1:22" ht="15" thickTop="1" thickBot="1" x14ac:dyDescent="0.3">
      <c r="A264" s="937"/>
      <c r="B264" s="938"/>
      <c r="C264" s="938"/>
      <c r="D264" s="938"/>
      <c r="E264" s="1624"/>
      <c r="F264" s="1624"/>
      <c r="G264" s="1624"/>
      <c r="H264" s="1624"/>
      <c r="I264" s="1624"/>
      <c r="J264" s="1624"/>
      <c r="K264" s="1643"/>
      <c r="L264" s="1643"/>
      <c r="M264" s="1634"/>
      <c r="N264" s="1644"/>
      <c r="O264" s="1624"/>
      <c r="P264" s="934"/>
      <c r="Q264" s="934"/>
      <c r="R264" s="939"/>
      <c r="S264" s="939"/>
      <c r="T264" s="939"/>
      <c r="U264" s="939"/>
      <c r="V264" s="939"/>
    </row>
    <row r="265" spans="1:22" ht="15" thickTop="1" thickBot="1" x14ac:dyDescent="0.3">
      <c r="A265" s="937"/>
      <c r="B265" s="938"/>
      <c r="C265" s="938"/>
      <c r="D265" s="938"/>
      <c r="E265" s="1624"/>
      <c r="F265" s="1624"/>
      <c r="G265" s="1624"/>
      <c r="H265" s="1624"/>
      <c r="I265" s="1624"/>
      <c r="J265" s="1624"/>
      <c r="K265" s="1643"/>
      <c r="L265" s="1643"/>
      <c r="M265" s="1634"/>
      <c r="N265" s="1644"/>
      <c r="O265" s="1624"/>
      <c r="P265" s="934"/>
      <c r="Q265" s="934"/>
      <c r="R265" s="939"/>
      <c r="S265" s="939"/>
      <c r="T265" s="939"/>
      <c r="U265" s="939"/>
      <c r="V265" s="939"/>
    </row>
    <row r="266" spans="1:22" ht="15" thickTop="1" thickBot="1" x14ac:dyDescent="0.3">
      <c r="A266" s="937"/>
      <c r="B266" s="938"/>
      <c r="C266" s="938"/>
      <c r="D266" s="938"/>
      <c r="E266" s="1624"/>
      <c r="F266" s="1624"/>
      <c r="G266" s="1624"/>
      <c r="H266" s="1624"/>
      <c r="I266" s="1624"/>
      <c r="J266" s="1624"/>
      <c r="K266" s="1643"/>
      <c r="L266" s="1643"/>
      <c r="M266" s="1634"/>
      <c r="N266" s="1644"/>
      <c r="O266" s="1624"/>
      <c r="P266" s="934"/>
      <c r="Q266" s="934"/>
      <c r="R266" s="939"/>
      <c r="S266" s="939"/>
      <c r="T266" s="939"/>
      <c r="U266" s="939"/>
      <c r="V266" s="939"/>
    </row>
    <row r="267" spans="1:22" ht="15" thickTop="1" thickBot="1" x14ac:dyDescent="0.3">
      <c r="A267" s="937"/>
      <c r="B267" s="938"/>
      <c r="C267" s="938"/>
      <c r="D267" s="938"/>
      <c r="E267" s="1624"/>
      <c r="F267" s="1624"/>
      <c r="G267" s="1624"/>
      <c r="H267" s="1624"/>
      <c r="I267" s="1624"/>
      <c r="J267" s="1624"/>
      <c r="K267" s="1643"/>
      <c r="L267" s="1643"/>
      <c r="M267" s="1634"/>
      <c r="N267" s="1644"/>
      <c r="O267" s="1624"/>
      <c r="P267" s="934"/>
      <c r="Q267" s="934"/>
      <c r="R267" s="939"/>
      <c r="S267" s="939"/>
      <c r="T267" s="939"/>
      <c r="U267" s="939"/>
      <c r="V267" s="939"/>
    </row>
    <row r="268" spans="1:22" ht="15" thickTop="1" thickBot="1" x14ac:dyDescent="0.3">
      <c r="A268" s="937"/>
      <c r="B268" s="938"/>
      <c r="C268" s="938"/>
      <c r="D268" s="938"/>
      <c r="E268" s="1624"/>
      <c r="F268" s="1624"/>
      <c r="G268" s="1624"/>
      <c r="H268" s="1624"/>
      <c r="I268" s="1624"/>
      <c r="J268" s="1624"/>
      <c r="K268" s="1643"/>
      <c r="L268" s="1643"/>
      <c r="M268" s="1634"/>
      <c r="N268" s="1644"/>
      <c r="O268" s="1624"/>
      <c r="P268" s="934"/>
      <c r="Q268" s="934"/>
      <c r="R268" s="939"/>
      <c r="S268" s="939"/>
      <c r="T268" s="939"/>
      <c r="U268" s="939"/>
      <c r="V268" s="939"/>
    </row>
    <row r="269" spans="1:22" ht="15" thickTop="1" thickBot="1" x14ac:dyDescent="0.3">
      <c r="A269" s="937"/>
      <c r="B269" s="938"/>
      <c r="C269" s="938"/>
      <c r="D269" s="938"/>
      <c r="E269" s="1624"/>
      <c r="F269" s="1624"/>
      <c r="G269" s="1624"/>
      <c r="H269" s="1624"/>
      <c r="I269" s="1624"/>
      <c r="J269" s="1624"/>
      <c r="K269" s="1643"/>
      <c r="L269" s="1643"/>
      <c r="M269" s="1634"/>
      <c r="N269" s="1644"/>
      <c r="O269" s="1624"/>
      <c r="P269" s="934"/>
      <c r="Q269" s="934"/>
      <c r="R269" s="939"/>
      <c r="S269" s="939"/>
      <c r="T269" s="939"/>
      <c r="U269" s="939"/>
      <c r="V269" s="939"/>
    </row>
    <row r="270" spans="1:22" ht="15" thickTop="1" thickBot="1" x14ac:dyDescent="0.3">
      <c r="A270" s="937"/>
      <c r="B270" s="938"/>
      <c r="C270" s="938"/>
      <c r="D270" s="938"/>
      <c r="E270" s="1624"/>
      <c r="F270" s="1624"/>
      <c r="G270" s="1624"/>
      <c r="H270" s="1624"/>
      <c r="I270" s="1624"/>
      <c r="J270" s="1624"/>
      <c r="K270" s="1643"/>
      <c r="L270" s="1643"/>
      <c r="M270" s="1634"/>
      <c r="N270" s="1644"/>
      <c r="O270" s="1624"/>
      <c r="P270" s="934"/>
      <c r="Q270" s="934"/>
      <c r="R270" s="939"/>
      <c r="S270" s="939"/>
      <c r="T270" s="939"/>
      <c r="U270" s="939"/>
      <c r="V270" s="939"/>
    </row>
    <row r="271" spans="1:22" ht="15" thickTop="1" thickBot="1" x14ac:dyDescent="0.3">
      <c r="A271" s="937"/>
      <c r="B271" s="938"/>
      <c r="C271" s="938"/>
      <c r="D271" s="938"/>
      <c r="E271" s="1624"/>
      <c r="F271" s="1624"/>
      <c r="G271" s="1624"/>
      <c r="H271" s="1624"/>
      <c r="I271" s="1624"/>
      <c r="J271" s="1624"/>
      <c r="K271" s="1643"/>
      <c r="L271" s="1643"/>
      <c r="M271" s="1634"/>
      <c r="N271" s="1644"/>
      <c r="O271" s="1624"/>
      <c r="P271" s="934"/>
      <c r="Q271" s="934"/>
      <c r="R271" s="939"/>
      <c r="S271" s="939"/>
      <c r="T271" s="939"/>
      <c r="U271" s="939"/>
      <c r="V271" s="939"/>
    </row>
    <row r="272" spans="1:22" ht="14.4" thickTop="1" x14ac:dyDescent="0.25">
      <c r="A272" s="937" t="str">
        <f>concrete!A89</f>
        <v>D 4.1</v>
      </c>
      <c r="B272" s="1623" t="str">
        <f>concrete!B89</f>
        <v>In Slab at First floor level</v>
      </c>
      <c r="C272" s="938"/>
      <c r="D272" s="938"/>
      <c r="E272" s="1624"/>
      <c r="F272" s="1639">
        <f>F171</f>
        <v>131</v>
      </c>
      <c r="G272" s="1624"/>
      <c r="H272" s="1639"/>
      <c r="I272" s="1639">
        <f>SUM(F272)</f>
        <v>131</v>
      </c>
      <c r="J272" s="1639">
        <f>SUM(I272)</f>
        <v>131</v>
      </c>
      <c r="K272" s="1639">
        <f>$K$2</f>
        <v>1.05</v>
      </c>
      <c r="L272" s="1639">
        <f t="shared" ref="L272" si="60">K272*J272</f>
        <v>137.55000000000001</v>
      </c>
      <c r="M272" s="1639">
        <f t="shared" ref="M272" si="61">ROUND(L272,1)</f>
        <v>137.6</v>
      </c>
      <c r="N272" s="1639">
        <f t="shared" ref="N272" si="62">ROUNDUP(M272,0)</f>
        <v>138</v>
      </c>
      <c r="O272" s="1624" t="s">
        <v>692</v>
      </c>
      <c r="P272" s="934"/>
      <c r="Q272" s="934"/>
      <c r="R272" s="939"/>
      <c r="S272" s="939"/>
      <c r="T272" s="939"/>
      <c r="U272" s="939"/>
      <c r="V272" s="939"/>
    </row>
    <row r="273" spans="1:22" ht="14.4" thickBot="1" x14ac:dyDescent="0.3">
      <c r="A273" s="937"/>
      <c r="B273" s="938"/>
      <c r="C273" s="938"/>
      <c r="D273" s="938"/>
      <c r="E273" s="1624"/>
      <c r="F273" s="1624"/>
      <c r="G273" s="1624"/>
      <c r="H273" s="1624"/>
      <c r="I273" s="1624"/>
      <c r="J273" s="1624"/>
      <c r="K273" s="1643"/>
      <c r="L273" s="1643"/>
      <c r="M273" s="1634"/>
      <c r="N273" s="1644"/>
      <c r="O273" s="1624"/>
      <c r="P273" s="934"/>
      <c r="Q273" s="934"/>
      <c r="R273" s="939"/>
      <c r="S273" s="939"/>
      <c r="T273" s="939"/>
      <c r="U273" s="939"/>
      <c r="V273" s="939"/>
    </row>
    <row r="274" spans="1:22" ht="14.4" thickTop="1" x14ac:dyDescent="0.25">
      <c r="A274" s="937" t="str">
        <f>concrete!A90</f>
        <v>D 4.2</v>
      </c>
      <c r="B274" s="1623" t="str">
        <f>concrete!B90</f>
        <v>In  Slab at second floor level</v>
      </c>
      <c r="C274" s="938"/>
      <c r="D274" s="938"/>
      <c r="E274" s="1624"/>
      <c r="F274" s="1639">
        <f>F173</f>
        <v>108</v>
      </c>
      <c r="G274" s="1624"/>
      <c r="H274" s="1639"/>
      <c r="I274" s="1639">
        <f>SUM(F274:H274)</f>
        <v>108</v>
      </c>
      <c r="J274" s="1639">
        <f>SUM(I274)</f>
        <v>108</v>
      </c>
      <c r="K274" s="1639">
        <f>$K$2</f>
        <v>1.05</v>
      </c>
      <c r="L274" s="1639">
        <f t="shared" ref="L274" si="63">K274*J274</f>
        <v>113.4</v>
      </c>
      <c r="M274" s="1639">
        <f t="shared" ref="M274" si="64">ROUND(L274,1)</f>
        <v>113.4</v>
      </c>
      <c r="N274" s="1639">
        <f t="shared" ref="N274" si="65">ROUNDUP(M274,0)</f>
        <v>114</v>
      </c>
      <c r="O274" s="1624" t="s">
        <v>692</v>
      </c>
      <c r="P274" s="934"/>
      <c r="Q274" s="934"/>
      <c r="R274" s="939"/>
      <c r="S274" s="939"/>
      <c r="T274" s="939"/>
      <c r="U274" s="939"/>
      <c r="V274" s="939"/>
    </row>
    <row r="275" spans="1:22" x14ac:dyDescent="0.25">
      <c r="A275" s="937"/>
      <c r="B275" s="1623"/>
      <c r="C275" s="938"/>
      <c r="D275" s="938"/>
      <c r="E275" s="1624"/>
      <c r="F275" s="1639"/>
      <c r="G275" s="1624"/>
      <c r="H275" s="1639"/>
      <c r="I275" s="1639"/>
      <c r="J275" s="1639"/>
      <c r="K275" s="1640"/>
      <c r="L275" s="1640"/>
      <c r="M275" s="1640"/>
      <c r="N275" s="1640"/>
      <c r="O275" s="1624"/>
      <c r="P275" s="934"/>
      <c r="Q275" s="934"/>
      <c r="R275" s="939"/>
      <c r="S275" s="939"/>
      <c r="T275" s="939"/>
      <c r="U275" s="939"/>
      <c r="V275" s="939"/>
    </row>
    <row r="276" spans="1:22" x14ac:dyDescent="0.25">
      <c r="A276" s="937" t="str">
        <f>concrete!A91</f>
        <v>D 4.3</v>
      </c>
      <c r="B276" s="1623" t="str">
        <f>concrete!B91</f>
        <v>In  Slab at Terrace floor level (with Swimming Pool)</v>
      </c>
      <c r="C276" s="938"/>
      <c r="D276" s="938"/>
      <c r="E276" s="1624"/>
      <c r="F276" s="1639">
        <f>F175</f>
        <v>32</v>
      </c>
      <c r="G276" s="1624"/>
      <c r="H276" s="1639"/>
      <c r="I276" s="1639">
        <f>SUM(F276:H276)</f>
        <v>32</v>
      </c>
      <c r="J276" s="1639">
        <f>SUM(I276)</f>
        <v>32</v>
      </c>
      <c r="K276" s="1639">
        <f>$K$2</f>
        <v>1.05</v>
      </c>
      <c r="L276" s="1639">
        <f t="shared" ref="L276" si="66">K276*J276</f>
        <v>33.6</v>
      </c>
      <c r="M276" s="1639">
        <f t="shared" ref="M276" si="67">ROUND(L276,1)</f>
        <v>33.6</v>
      </c>
      <c r="N276" s="1639">
        <f t="shared" ref="N276" si="68">ROUNDUP(M276,0)</f>
        <v>34</v>
      </c>
      <c r="O276" s="1624" t="s">
        <v>692</v>
      </c>
      <c r="P276" s="934"/>
      <c r="Q276" s="934"/>
      <c r="R276" s="939"/>
      <c r="S276" s="939"/>
      <c r="T276" s="939"/>
      <c r="U276" s="939"/>
      <c r="V276" s="939"/>
    </row>
    <row r="277" spans="1:22" ht="14.4" thickBot="1" x14ac:dyDescent="0.3">
      <c r="A277" s="937"/>
      <c r="B277" s="938"/>
      <c r="C277" s="938"/>
      <c r="D277" s="938"/>
      <c r="E277" s="1624"/>
      <c r="F277" s="1624"/>
      <c r="G277" s="1624"/>
      <c r="H277" s="1624"/>
      <c r="I277" s="1624"/>
      <c r="J277" s="1624"/>
      <c r="K277" s="1643"/>
      <c r="L277" s="1643"/>
      <c r="M277" s="1634"/>
      <c r="N277" s="1644"/>
      <c r="O277" s="1624"/>
      <c r="P277" s="934"/>
      <c r="Q277" s="934"/>
      <c r="R277" s="939"/>
      <c r="S277" s="939"/>
      <c r="T277" s="939"/>
      <c r="U277" s="939"/>
      <c r="V277" s="939"/>
    </row>
    <row r="278" spans="1:22" ht="15" thickTop="1" thickBot="1" x14ac:dyDescent="0.3">
      <c r="A278" s="937" t="str">
        <f>concrete!A95</f>
        <v>D 5.1</v>
      </c>
      <c r="B278" s="1623" t="str">
        <f>concrete!B95</f>
        <v>In beam at First floor level</v>
      </c>
      <c r="C278" s="938"/>
      <c r="D278" s="938" t="s">
        <v>1882</v>
      </c>
      <c r="E278" s="1624">
        <v>1</v>
      </c>
      <c r="F278" s="1624">
        <v>13.2</v>
      </c>
      <c r="G278" s="1624"/>
      <c r="H278" s="1624">
        <v>0.45</v>
      </c>
      <c r="I278" s="1624">
        <f>F278*H278*E278</f>
        <v>5.9399999999999995</v>
      </c>
      <c r="J278" s="1624"/>
      <c r="K278" s="1643"/>
      <c r="L278" s="1643"/>
      <c r="M278" s="1634"/>
      <c r="N278" s="1644"/>
      <c r="O278" s="1624"/>
      <c r="P278" s="934"/>
      <c r="Q278" s="934"/>
      <c r="R278" s="939"/>
      <c r="S278" s="939"/>
      <c r="T278" s="939"/>
      <c r="U278" s="939"/>
      <c r="V278" s="939"/>
    </row>
    <row r="279" spans="1:22" ht="15" thickTop="1" thickBot="1" x14ac:dyDescent="0.3">
      <c r="A279" s="937"/>
      <c r="B279" s="1623"/>
      <c r="C279" s="938"/>
      <c r="D279" s="938"/>
      <c r="E279" s="1624">
        <v>2</v>
      </c>
      <c r="F279" s="1624">
        <v>13.2</v>
      </c>
      <c r="G279" s="1624"/>
      <c r="H279" s="1624">
        <v>0.22500000000000001</v>
      </c>
      <c r="I279" s="1624">
        <f t="shared" ref="I279:I342" si="69">F279*H279*E279</f>
        <v>5.9399999999999995</v>
      </c>
      <c r="J279" s="1624"/>
      <c r="K279" s="1643"/>
      <c r="L279" s="1643"/>
      <c r="M279" s="1634"/>
      <c r="N279" s="1644"/>
      <c r="O279" s="1624"/>
      <c r="P279" s="934"/>
      <c r="Q279" s="934"/>
      <c r="R279" s="939"/>
      <c r="S279" s="939"/>
      <c r="T279" s="939"/>
      <c r="U279" s="939"/>
      <c r="V279" s="939"/>
    </row>
    <row r="280" spans="1:22" ht="15" thickTop="1" thickBot="1" x14ac:dyDescent="0.3">
      <c r="A280" s="937"/>
      <c r="B280" s="1623"/>
      <c r="C280" s="938"/>
      <c r="D280" s="938" t="s">
        <v>1881</v>
      </c>
      <c r="E280" s="1624">
        <v>1</v>
      </c>
      <c r="F280" s="1624">
        <v>10.5</v>
      </c>
      <c r="G280" s="1624"/>
      <c r="H280" s="1624">
        <v>0.45</v>
      </c>
      <c r="I280" s="1624">
        <f t="shared" si="69"/>
        <v>4.7250000000000005</v>
      </c>
      <c r="J280" s="1624"/>
      <c r="K280" s="1643"/>
      <c r="L280" s="1643"/>
      <c r="M280" s="1634"/>
      <c r="N280" s="1644"/>
      <c r="O280" s="1624"/>
      <c r="P280" s="934"/>
      <c r="Q280" s="934"/>
      <c r="R280" s="939"/>
      <c r="S280" s="939"/>
      <c r="T280" s="939"/>
      <c r="U280" s="939"/>
      <c r="V280" s="939"/>
    </row>
    <row r="281" spans="1:22" ht="15" thickTop="1" thickBot="1" x14ac:dyDescent="0.3">
      <c r="A281" s="937"/>
      <c r="B281" s="1623"/>
      <c r="C281" s="938"/>
      <c r="D281" s="938"/>
      <c r="E281" s="1624">
        <v>2</v>
      </c>
      <c r="F281" s="1624">
        <v>10.5</v>
      </c>
      <c r="G281" s="1624"/>
      <c r="H281" s="1624">
        <v>0.22500000000000001</v>
      </c>
      <c r="I281" s="1624">
        <f t="shared" si="69"/>
        <v>4.7250000000000005</v>
      </c>
      <c r="J281" s="1624"/>
      <c r="K281" s="1643"/>
      <c r="L281" s="1643"/>
      <c r="M281" s="1634"/>
      <c r="N281" s="1644"/>
      <c r="O281" s="1624"/>
      <c r="P281" s="934"/>
      <c r="Q281" s="934"/>
      <c r="R281" s="939"/>
      <c r="S281" s="939"/>
      <c r="T281" s="939"/>
      <c r="U281" s="939"/>
      <c r="V281" s="939"/>
    </row>
    <row r="282" spans="1:22" ht="15" thickTop="1" thickBot="1" x14ac:dyDescent="0.3">
      <c r="A282" s="937"/>
      <c r="B282" s="1623"/>
      <c r="C282" s="938"/>
      <c r="D282" s="938" t="s">
        <v>1883</v>
      </c>
      <c r="E282" s="1624">
        <v>1</v>
      </c>
      <c r="F282" s="1624">
        <v>6.15</v>
      </c>
      <c r="G282" s="1624"/>
      <c r="H282" s="1624">
        <v>0.6</v>
      </c>
      <c r="I282" s="1624">
        <f t="shared" si="69"/>
        <v>3.69</v>
      </c>
      <c r="J282" s="1624"/>
      <c r="K282" s="1643"/>
      <c r="L282" s="1643"/>
      <c r="M282" s="1634"/>
      <c r="N282" s="1644"/>
      <c r="O282" s="1624"/>
      <c r="P282" s="934"/>
      <c r="Q282" s="934"/>
      <c r="R282" s="939"/>
      <c r="S282" s="939"/>
      <c r="T282" s="939"/>
      <c r="U282" s="939"/>
      <c r="V282" s="939"/>
    </row>
    <row r="283" spans="1:22" ht="15" thickTop="1" thickBot="1" x14ac:dyDescent="0.3">
      <c r="A283" s="937"/>
      <c r="B283" s="1623"/>
      <c r="C283" s="938"/>
      <c r="D283" s="938"/>
      <c r="E283" s="1624">
        <v>2</v>
      </c>
      <c r="F283" s="1624">
        <v>6.15</v>
      </c>
      <c r="G283" s="1624"/>
      <c r="H283" s="1624">
        <v>0.22500000000000001</v>
      </c>
      <c r="I283" s="1624">
        <f t="shared" si="69"/>
        <v>2.7675000000000001</v>
      </c>
      <c r="J283" s="1624"/>
      <c r="K283" s="1643"/>
      <c r="L283" s="1643"/>
      <c r="M283" s="1634"/>
      <c r="N283" s="1644"/>
      <c r="O283" s="1624"/>
      <c r="P283" s="934"/>
      <c r="Q283" s="934"/>
      <c r="R283" s="939"/>
      <c r="S283" s="939"/>
      <c r="T283" s="939"/>
      <c r="U283" s="939"/>
      <c r="V283" s="939"/>
    </row>
    <row r="284" spans="1:22" ht="15" thickTop="1" thickBot="1" x14ac:dyDescent="0.3">
      <c r="A284" s="937"/>
      <c r="B284" s="1623"/>
      <c r="C284" s="938"/>
      <c r="D284" s="938" t="s">
        <v>1884</v>
      </c>
      <c r="E284" s="1624">
        <v>1</v>
      </c>
      <c r="F284" s="1624">
        <v>12.95</v>
      </c>
      <c r="G284" s="1624"/>
      <c r="H284" s="1624">
        <v>0.6</v>
      </c>
      <c r="I284" s="1624">
        <f t="shared" si="69"/>
        <v>7.77</v>
      </c>
      <c r="J284" s="1624"/>
      <c r="K284" s="1643"/>
      <c r="L284" s="1643"/>
      <c r="M284" s="1634"/>
      <c r="N284" s="1644"/>
      <c r="O284" s="1624"/>
      <c r="P284" s="934"/>
      <c r="Q284" s="934"/>
      <c r="R284" s="939"/>
      <c r="S284" s="939"/>
      <c r="T284" s="939"/>
      <c r="U284" s="939"/>
      <c r="V284" s="939"/>
    </row>
    <row r="285" spans="1:22" ht="15" thickTop="1" thickBot="1" x14ac:dyDescent="0.3">
      <c r="A285" s="937"/>
      <c r="B285" s="1623"/>
      <c r="C285" s="938"/>
      <c r="D285" s="938"/>
      <c r="E285" s="1624">
        <v>2</v>
      </c>
      <c r="F285" s="1624">
        <v>12.95</v>
      </c>
      <c r="G285" s="1624"/>
      <c r="H285" s="1624">
        <v>0.22500000000000001</v>
      </c>
      <c r="I285" s="1624">
        <f t="shared" si="69"/>
        <v>5.8274999999999997</v>
      </c>
      <c r="J285" s="1624"/>
      <c r="K285" s="1643"/>
      <c r="L285" s="1643"/>
      <c r="M285" s="1634"/>
      <c r="N285" s="1644"/>
      <c r="O285" s="1624"/>
      <c r="P285" s="934"/>
      <c r="Q285" s="934"/>
      <c r="R285" s="939"/>
      <c r="S285" s="939"/>
      <c r="T285" s="939"/>
      <c r="U285" s="939"/>
      <c r="V285" s="939"/>
    </row>
    <row r="286" spans="1:22" ht="15" thickTop="1" thickBot="1" x14ac:dyDescent="0.3">
      <c r="A286" s="937"/>
      <c r="B286" s="1623"/>
      <c r="C286" s="938"/>
      <c r="D286" s="938" t="s">
        <v>1885</v>
      </c>
      <c r="E286" s="1624">
        <v>1</v>
      </c>
      <c r="F286" s="1624">
        <v>3.88</v>
      </c>
      <c r="G286" s="1624"/>
      <c r="H286" s="1624">
        <v>0.45</v>
      </c>
      <c r="I286" s="1624">
        <f t="shared" si="69"/>
        <v>1.746</v>
      </c>
      <c r="J286" s="1624"/>
      <c r="K286" s="1643"/>
      <c r="L286" s="1643"/>
      <c r="M286" s="1634"/>
      <c r="N286" s="1644"/>
      <c r="O286" s="1624"/>
      <c r="P286" s="934"/>
      <c r="Q286" s="934"/>
      <c r="R286" s="939"/>
      <c r="S286" s="939"/>
      <c r="T286" s="939"/>
      <c r="U286" s="939"/>
      <c r="V286" s="939"/>
    </row>
    <row r="287" spans="1:22" ht="15" thickTop="1" thickBot="1" x14ac:dyDescent="0.3">
      <c r="A287" s="937"/>
      <c r="B287" s="1623"/>
      <c r="C287" s="938"/>
      <c r="D287" s="938"/>
      <c r="E287" s="1624">
        <v>2</v>
      </c>
      <c r="F287" s="1624">
        <v>3.88</v>
      </c>
      <c r="G287" s="1624"/>
      <c r="H287" s="1624">
        <v>0.22500000000000001</v>
      </c>
      <c r="I287" s="1624">
        <f t="shared" si="69"/>
        <v>1.746</v>
      </c>
      <c r="J287" s="1624"/>
      <c r="K287" s="1643"/>
      <c r="L287" s="1643"/>
      <c r="M287" s="1634"/>
      <c r="N287" s="1644"/>
      <c r="O287" s="1624"/>
      <c r="P287" s="934"/>
      <c r="Q287" s="934"/>
      <c r="R287" s="939"/>
      <c r="S287" s="939"/>
      <c r="T287" s="939"/>
      <c r="U287" s="939"/>
      <c r="V287" s="939"/>
    </row>
    <row r="288" spans="1:22" ht="15" thickTop="1" thickBot="1" x14ac:dyDescent="0.3">
      <c r="A288" s="937"/>
      <c r="B288" s="1623"/>
      <c r="C288" s="938"/>
      <c r="D288" s="938" t="s">
        <v>1886</v>
      </c>
      <c r="E288" s="1624">
        <v>1</v>
      </c>
      <c r="F288" s="1624">
        <v>13.35</v>
      </c>
      <c r="G288" s="1624"/>
      <c r="H288" s="1624">
        <v>0.45</v>
      </c>
      <c r="I288" s="1624">
        <f t="shared" si="69"/>
        <v>6.0075000000000003</v>
      </c>
      <c r="J288" s="1624"/>
      <c r="K288" s="1643"/>
      <c r="L288" s="1643"/>
      <c r="M288" s="1634"/>
      <c r="N288" s="1644"/>
      <c r="O288" s="1624"/>
      <c r="P288" s="934"/>
      <c r="Q288" s="934"/>
      <c r="R288" s="939"/>
      <c r="S288" s="939"/>
      <c r="T288" s="939"/>
      <c r="U288" s="939"/>
      <c r="V288" s="939"/>
    </row>
    <row r="289" spans="1:22" ht="15" thickTop="1" thickBot="1" x14ac:dyDescent="0.3">
      <c r="A289" s="937"/>
      <c r="B289" s="1623"/>
      <c r="C289" s="938"/>
      <c r="D289" s="938"/>
      <c r="E289" s="1624">
        <v>2</v>
      </c>
      <c r="F289" s="1624">
        <v>13.35</v>
      </c>
      <c r="G289" s="1624"/>
      <c r="H289" s="1624">
        <v>0.22500000000000001</v>
      </c>
      <c r="I289" s="1624">
        <f t="shared" si="69"/>
        <v>6.0075000000000003</v>
      </c>
      <c r="J289" s="1624"/>
      <c r="K289" s="1643"/>
      <c r="L289" s="1643"/>
      <c r="M289" s="1634"/>
      <c r="N289" s="1644"/>
      <c r="O289" s="1624"/>
      <c r="P289" s="934"/>
      <c r="Q289" s="934"/>
      <c r="R289" s="939"/>
      <c r="S289" s="939"/>
      <c r="T289" s="939"/>
      <c r="U289" s="939"/>
      <c r="V289" s="939"/>
    </row>
    <row r="290" spans="1:22" ht="15" thickTop="1" thickBot="1" x14ac:dyDescent="0.3">
      <c r="A290" s="937"/>
      <c r="B290" s="1623"/>
      <c r="C290" s="938"/>
      <c r="D290" s="938" t="s">
        <v>1889</v>
      </c>
      <c r="E290" s="1624">
        <v>1</v>
      </c>
      <c r="F290" s="1624">
        <v>8.2249999999999996</v>
      </c>
      <c r="G290" s="1624"/>
      <c r="H290" s="1624">
        <v>0.45</v>
      </c>
      <c r="I290" s="1624">
        <f t="shared" si="69"/>
        <v>3.7012499999999999</v>
      </c>
      <c r="J290" s="1624"/>
      <c r="K290" s="1643"/>
      <c r="L290" s="1643"/>
      <c r="M290" s="1634"/>
      <c r="N290" s="1644"/>
      <c r="O290" s="1624"/>
      <c r="P290" s="934"/>
      <c r="Q290" s="934"/>
      <c r="R290" s="939"/>
      <c r="S290" s="939"/>
      <c r="T290" s="939"/>
      <c r="U290" s="939"/>
      <c r="V290" s="939"/>
    </row>
    <row r="291" spans="1:22" ht="15" thickTop="1" thickBot="1" x14ac:dyDescent="0.3">
      <c r="A291" s="937"/>
      <c r="B291" s="1623"/>
      <c r="C291" s="938"/>
      <c r="D291" s="938"/>
      <c r="E291" s="1624">
        <v>2</v>
      </c>
      <c r="F291" s="1624">
        <v>8.2249999999999996</v>
      </c>
      <c r="G291" s="1624"/>
      <c r="H291" s="1624">
        <v>0.22500000000000001</v>
      </c>
      <c r="I291" s="1624">
        <f t="shared" si="69"/>
        <v>3.7012499999999999</v>
      </c>
      <c r="J291" s="1624"/>
      <c r="K291" s="1643"/>
      <c r="L291" s="1643"/>
      <c r="M291" s="1634"/>
      <c r="N291" s="1644"/>
      <c r="O291" s="1624"/>
      <c r="P291" s="934"/>
      <c r="Q291" s="934"/>
      <c r="R291" s="939"/>
      <c r="S291" s="939"/>
      <c r="T291" s="939"/>
      <c r="U291" s="939"/>
      <c r="V291" s="939"/>
    </row>
    <row r="292" spans="1:22" ht="15" thickTop="1" thickBot="1" x14ac:dyDescent="0.3">
      <c r="A292" s="937"/>
      <c r="B292" s="1623"/>
      <c r="C292" s="938"/>
      <c r="D292" s="938" t="s">
        <v>1890</v>
      </c>
      <c r="E292" s="1624">
        <v>1</v>
      </c>
      <c r="F292" s="1624">
        <v>0.9</v>
      </c>
      <c r="G292" s="1624"/>
      <c r="H292" s="1624">
        <v>0.45</v>
      </c>
      <c r="I292" s="1624">
        <f t="shared" si="69"/>
        <v>0.40500000000000003</v>
      </c>
      <c r="J292" s="1624"/>
      <c r="K292" s="1643"/>
      <c r="L292" s="1643"/>
      <c r="M292" s="1634"/>
      <c r="N292" s="1644"/>
      <c r="O292" s="1624"/>
      <c r="P292" s="934"/>
      <c r="Q292" s="934"/>
      <c r="R292" s="939"/>
      <c r="S292" s="939"/>
      <c r="T292" s="939"/>
      <c r="U292" s="939"/>
      <c r="V292" s="939"/>
    </row>
    <row r="293" spans="1:22" ht="15" thickTop="1" thickBot="1" x14ac:dyDescent="0.3">
      <c r="A293" s="937"/>
      <c r="B293" s="1623"/>
      <c r="C293" s="938"/>
      <c r="D293" s="938"/>
      <c r="E293" s="1624">
        <v>2</v>
      </c>
      <c r="F293" s="1624">
        <v>0.9</v>
      </c>
      <c r="G293" s="1624"/>
      <c r="H293" s="1624">
        <v>0.22500000000000001</v>
      </c>
      <c r="I293" s="1624">
        <f t="shared" si="69"/>
        <v>0.40500000000000003</v>
      </c>
      <c r="J293" s="1624"/>
      <c r="K293" s="1643"/>
      <c r="L293" s="1643"/>
      <c r="M293" s="1634"/>
      <c r="N293" s="1644"/>
      <c r="O293" s="1624"/>
      <c r="P293" s="934"/>
      <c r="Q293" s="934"/>
      <c r="R293" s="939"/>
      <c r="S293" s="939"/>
      <c r="T293" s="939"/>
      <c r="U293" s="939"/>
      <c r="V293" s="939"/>
    </row>
    <row r="294" spans="1:22" ht="15" thickTop="1" thickBot="1" x14ac:dyDescent="0.3">
      <c r="A294" s="937"/>
      <c r="B294" s="938"/>
      <c r="C294" s="938"/>
      <c r="D294" s="938" t="s">
        <v>1887</v>
      </c>
      <c r="E294" s="1624">
        <v>1</v>
      </c>
      <c r="F294" s="1624">
        <v>3.7749999999999999</v>
      </c>
      <c r="G294" s="1624"/>
      <c r="H294" s="1624">
        <v>0.45</v>
      </c>
      <c r="I294" s="1624">
        <f t="shared" si="69"/>
        <v>1.69875</v>
      </c>
      <c r="J294" s="1624"/>
      <c r="K294" s="1643"/>
      <c r="L294" s="1643"/>
      <c r="M294" s="1634"/>
      <c r="N294" s="1644"/>
      <c r="O294" s="1624"/>
      <c r="P294" s="934"/>
      <c r="Q294" s="934"/>
      <c r="R294" s="939"/>
      <c r="S294" s="939"/>
      <c r="T294" s="939"/>
      <c r="U294" s="939"/>
      <c r="V294" s="939"/>
    </row>
    <row r="295" spans="1:22" ht="15" thickTop="1" thickBot="1" x14ac:dyDescent="0.3">
      <c r="A295" s="937"/>
      <c r="B295" s="938"/>
      <c r="C295" s="938"/>
      <c r="D295" s="938"/>
      <c r="E295" s="1624">
        <v>2</v>
      </c>
      <c r="F295" s="1624">
        <v>3.7749999999999999</v>
      </c>
      <c r="G295" s="1624"/>
      <c r="H295" s="1624">
        <v>0.22500000000000001</v>
      </c>
      <c r="I295" s="1624">
        <f t="shared" si="69"/>
        <v>1.69875</v>
      </c>
      <c r="J295" s="1624"/>
      <c r="K295" s="1643"/>
      <c r="L295" s="1643"/>
      <c r="M295" s="1634"/>
      <c r="N295" s="1644"/>
      <c r="O295" s="1624"/>
      <c r="P295" s="934"/>
      <c r="Q295" s="934"/>
      <c r="R295" s="939"/>
      <c r="S295" s="939"/>
      <c r="T295" s="939"/>
      <c r="U295" s="939"/>
      <c r="V295" s="939"/>
    </row>
    <row r="296" spans="1:22" ht="15" thickTop="1" thickBot="1" x14ac:dyDescent="0.3">
      <c r="A296" s="937"/>
      <c r="B296" s="938"/>
      <c r="C296" s="938"/>
      <c r="D296" s="938" t="s">
        <v>1891</v>
      </c>
      <c r="E296" s="1624">
        <v>1</v>
      </c>
      <c r="F296" s="1624">
        <v>4.55</v>
      </c>
      <c r="G296" s="1624"/>
      <c r="H296" s="1624">
        <v>0.3</v>
      </c>
      <c r="I296" s="1624">
        <f t="shared" si="69"/>
        <v>1.365</v>
      </c>
      <c r="J296" s="1624"/>
      <c r="K296" s="1643"/>
      <c r="L296" s="1643"/>
      <c r="M296" s="1634"/>
      <c r="N296" s="1644"/>
      <c r="O296" s="1624"/>
      <c r="P296" s="934"/>
      <c r="Q296" s="934"/>
      <c r="R296" s="939"/>
      <c r="S296" s="939"/>
      <c r="T296" s="939"/>
      <c r="U296" s="939"/>
      <c r="V296" s="939"/>
    </row>
    <row r="297" spans="1:22" ht="15" thickTop="1" thickBot="1" x14ac:dyDescent="0.3">
      <c r="A297" s="937"/>
      <c r="B297" s="938"/>
      <c r="C297" s="938"/>
      <c r="D297" s="938"/>
      <c r="E297" s="1624">
        <v>2</v>
      </c>
      <c r="F297" s="1624">
        <v>4.55</v>
      </c>
      <c r="G297" s="1624"/>
      <c r="H297" s="1624">
        <v>0.22500000000000001</v>
      </c>
      <c r="I297" s="1624">
        <f t="shared" si="69"/>
        <v>2.0474999999999999</v>
      </c>
      <c r="J297" s="1624"/>
      <c r="K297" s="1643"/>
      <c r="L297" s="1643"/>
      <c r="M297" s="1634"/>
      <c r="N297" s="1644"/>
      <c r="O297" s="1624"/>
      <c r="P297" s="934"/>
      <c r="Q297" s="934"/>
      <c r="R297" s="939"/>
      <c r="S297" s="939"/>
      <c r="T297" s="939"/>
      <c r="U297" s="939"/>
      <c r="V297" s="939"/>
    </row>
    <row r="298" spans="1:22" ht="15" thickTop="1" thickBot="1" x14ac:dyDescent="0.3">
      <c r="A298" s="937"/>
      <c r="B298" s="938"/>
      <c r="C298" s="938"/>
      <c r="D298" s="938" t="s">
        <v>1893</v>
      </c>
      <c r="E298" s="1624">
        <v>1</v>
      </c>
      <c r="F298" s="1624">
        <v>0.9</v>
      </c>
      <c r="G298" s="1624"/>
      <c r="H298" s="1624">
        <v>0.45</v>
      </c>
      <c r="I298" s="1624">
        <f t="shared" si="69"/>
        <v>0.40500000000000003</v>
      </c>
      <c r="J298" s="1624"/>
      <c r="K298" s="1643"/>
      <c r="L298" s="1643"/>
      <c r="M298" s="1634"/>
      <c r="N298" s="1644"/>
      <c r="O298" s="1624"/>
      <c r="P298" s="934"/>
      <c r="Q298" s="934"/>
      <c r="R298" s="939"/>
      <c r="S298" s="939"/>
      <c r="T298" s="939"/>
      <c r="U298" s="939"/>
      <c r="V298" s="939"/>
    </row>
    <row r="299" spans="1:22" ht="15" thickTop="1" thickBot="1" x14ac:dyDescent="0.3">
      <c r="A299" s="937"/>
      <c r="B299" s="938"/>
      <c r="C299" s="938"/>
      <c r="D299" s="938"/>
      <c r="E299" s="1624">
        <v>2</v>
      </c>
      <c r="F299" s="1624">
        <v>0.9</v>
      </c>
      <c r="G299" s="1624"/>
      <c r="H299" s="1624">
        <v>0.22500000000000001</v>
      </c>
      <c r="I299" s="1624">
        <f t="shared" si="69"/>
        <v>0.40500000000000003</v>
      </c>
      <c r="J299" s="1624"/>
      <c r="K299" s="1643"/>
      <c r="L299" s="1643"/>
      <c r="M299" s="1634"/>
      <c r="N299" s="1644"/>
      <c r="O299" s="1624"/>
      <c r="P299" s="934"/>
      <c r="Q299" s="934"/>
      <c r="R299" s="939"/>
      <c r="S299" s="939"/>
      <c r="T299" s="939"/>
      <c r="U299" s="939"/>
      <c r="V299" s="939"/>
    </row>
    <row r="300" spans="1:22" ht="15" thickTop="1" thickBot="1" x14ac:dyDescent="0.3">
      <c r="A300" s="937"/>
      <c r="B300" s="938"/>
      <c r="C300" s="938"/>
      <c r="D300" s="938" t="s">
        <v>1888</v>
      </c>
      <c r="E300" s="1624">
        <v>1</v>
      </c>
      <c r="F300" s="1624">
        <v>10.8</v>
      </c>
      <c r="G300" s="1624"/>
      <c r="H300" s="1624">
        <v>0.45</v>
      </c>
      <c r="I300" s="1624">
        <f t="shared" si="69"/>
        <v>4.8600000000000003</v>
      </c>
      <c r="J300" s="1624"/>
      <c r="K300" s="1643"/>
      <c r="L300" s="1643"/>
      <c r="M300" s="1634"/>
      <c r="N300" s="1644"/>
      <c r="O300" s="1624"/>
      <c r="P300" s="934"/>
      <c r="Q300" s="934"/>
      <c r="R300" s="939"/>
      <c r="S300" s="939"/>
      <c r="T300" s="939"/>
      <c r="U300" s="939"/>
      <c r="V300" s="939"/>
    </row>
    <row r="301" spans="1:22" ht="15" thickTop="1" thickBot="1" x14ac:dyDescent="0.3">
      <c r="A301" s="937"/>
      <c r="B301" s="938"/>
      <c r="C301" s="938"/>
      <c r="D301" s="938"/>
      <c r="E301" s="1624">
        <v>2</v>
      </c>
      <c r="F301" s="1624">
        <v>10.8</v>
      </c>
      <c r="G301" s="1624"/>
      <c r="H301" s="1624">
        <v>0.22500000000000001</v>
      </c>
      <c r="I301" s="1624">
        <f t="shared" si="69"/>
        <v>4.8600000000000003</v>
      </c>
      <c r="J301" s="1624"/>
      <c r="K301" s="1643"/>
      <c r="L301" s="1643"/>
      <c r="M301" s="1634"/>
      <c r="N301" s="1644"/>
      <c r="O301" s="1624"/>
      <c r="P301" s="934"/>
      <c r="Q301" s="934"/>
      <c r="R301" s="939"/>
      <c r="S301" s="939"/>
      <c r="T301" s="939"/>
      <c r="U301" s="939"/>
      <c r="V301" s="939"/>
    </row>
    <row r="302" spans="1:22" ht="15" thickTop="1" thickBot="1" x14ac:dyDescent="0.3">
      <c r="A302" s="937"/>
      <c r="B302" s="938"/>
      <c r="C302" s="938"/>
      <c r="D302" s="938" t="s">
        <v>1894</v>
      </c>
      <c r="E302" s="1624">
        <v>1</v>
      </c>
      <c r="F302" s="1624">
        <v>4.8</v>
      </c>
      <c r="G302" s="1624"/>
      <c r="H302" s="1624">
        <v>0.3</v>
      </c>
      <c r="I302" s="1624">
        <f t="shared" si="69"/>
        <v>1.44</v>
      </c>
      <c r="J302" s="1624"/>
      <c r="K302" s="1643"/>
      <c r="L302" s="1643"/>
      <c r="M302" s="1634"/>
      <c r="N302" s="1644"/>
      <c r="O302" s="1624"/>
      <c r="P302" s="934"/>
      <c r="Q302" s="934"/>
      <c r="R302" s="939"/>
      <c r="S302" s="939"/>
      <c r="T302" s="939"/>
      <c r="U302" s="939"/>
      <c r="V302" s="939"/>
    </row>
    <row r="303" spans="1:22" ht="15" thickTop="1" thickBot="1" x14ac:dyDescent="0.3">
      <c r="A303" s="937"/>
      <c r="B303" s="938"/>
      <c r="C303" s="938"/>
      <c r="D303" s="938"/>
      <c r="E303" s="1624">
        <v>2</v>
      </c>
      <c r="F303" s="1624">
        <v>4.8</v>
      </c>
      <c r="G303" s="1624"/>
      <c r="H303" s="1624">
        <v>0.22500000000000001</v>
      </c>
      <c r="I303" s="1624">
        <f t="shared" si="69"/>
        <v>2.16</v>
      </c>
      <c r="J303" s="1624"/>
      <c r="K303" s="1643"/>
      <c r="L303" s="1643"/>
      <c r="M303" s="1634"/>
      <c r="N303" s="1644"/>
      <c r="O303" s="1624"/>
      <c r="P303" s="934"/>
      <c r="Q303" s="934"/>
      <c r="R303" s="939"/>
      <c r="S303" s="939"/>
      <c r="T303" s="939"/>
      <c r="U303" s="939"/>
      <c r="V303" s="939"/>
    </row>
    <row r="304" spans="1:22" ht="15" thickTop="1" thickBot="1" x14ac:dyDescent="0.3">
      <c r="A304" s="937"/>
      <c r="B304" s="938"/>
      <c r="C304" s="938"/>
      <c r="D304" s="938" t="s">
        <v>1895</v>
      </c>
      <c r="E304" s="1624">
        <v>1</v>
      </c>
      <c r="F304" s="1624">
        <v>4</v>
      </c>
      <c r="G304" s="1624"/>
      <c r="H304" s="1624">
        <v>0.45</v>
      </c>
      <c r="I304" s="1624">
        <f t="shared" si="69"/>
        <v>1.8</v>
      </c>
      <c r="J304" s="1624"/>
      <c r="K304" s="1643"/>
      <c r="L304" s="1643"/>
      <c r="M304" s="1634"/>
      <c r="N304" s="1644"/>
      <c r="O304" s="1624"/>
      <c r="P304" s="934"/>
      <c r="Q304" s="934"/>
      <c r="R304" s="939"/>
      <c r="S304" s="939"/>
      <c r="T304" s="939"/>
      <c r="U304" s="939"/>
      <c r="V304" s="939"/>
    </row>
    <row r="305" spans="1:22" ht="15" thickTop="1" thickBot="1" x14ac:dyDescent="0.3">
      <c r="A305" s="937"/>
      <c r="B305" s="938"/>
      <c r="C305" s="938"/>
      <c r="D305" s="938"/>
      <c r="E305" s="1624">
        <v>2</v>
      </c>
      <c r="F305" s="1624">
        <v>4</v>
      </c>
      <c r="G305" s="1624"/>
      <c r="H305" s="1624">
        <v>0.22500000000000001</v>
      </c>
      <c r="I305" s="1624">
        <f t="shared" si="69"/>
        <v>1.8</v>
      </c>
      <c r="J305" s="1624"/>
      <c r="K305" s="1643"/>
      <c r="L305" s="1643"/>
      <c r="M305" s="1634"/>
      <c r="N305" s="1644"/>
      <c r="O305" s="1624"/>
      <c r="P305" s="934"/>
      <c r="Q305" s="934"/>
      <c r="R305" s="939"/>
      <c r="S305" s="939"/>
      <c r="T305" s="939"/>
      <c r="U305" s="939"/>
      <c r="V305" s="939"/>
    </row>
    <row r="306" spans="1:22" ht="15" thickTop="1" thickBot="1" x14ac:dyDescent="0.3">
      <c r="A306" s="937"/>
      <c r="B306" s="938"/>
      <c r="C306" s="938"/>
      <c r="D306" s="938" t="s">
        <v>1896</v>
      </c>
      <c r="E306" s="1624">
        <v>2</v>
      </c>
      <c r="F306" s="1624">
        <v>0.67500000000000004</v>
      </c>
      <c r="G306" s="1624"/>
      <c r="H306" s="1624">
        <v>0.45</v>
      </c>
      <c r="I306" s="1624">
        <f t="shared" si="69"/>
        <v>0.60750000000000004</v>
      </c>
      <c r="J306" s="1624"/>
      <c r="K306" s="1643"/>
      <c r="L306" s="1643"/>
      <c r="M306" s="1634"/>
      <c r="N306" s="1644"/>
      <c r="O306" s="1624"/>
      <c r="P306" s="934"/>
      <c r="Q306" s="934"/>
      <c r="R306" s="939"/>
      <c r="S306" s="939"/>
      <c r="T306" s="939"/>
      <c r="U306" s="939"/>
      <c r="V306" s="939"/>
    </row>
    <row r="307" spans="1:22" ht="15" thickTop="1" thickBot="1" x14ac:dyDescent="0.3">
      <c r="A307" s="937"/>
      <c r="B307" s="938"/>
      <c r="C307" s="938"/>
      <c r="D307" s="938"/>
      <c r="E307" s="1624">
        <v>4</v>
      </c>
      <c r="F307" s="1624">
        <v>0.67500000000000004</v>
      </c>
      <c r="G307" s="1624"/>
      <c r="H307" s="1624">
        <v>0.22500000000000001</v>
      </c>
      <c r="I307" s="1624">
        <f t="shared" si="69"/>
        <v>0.60750000000000004</v>
      </c>
      <c r="J307" s="1624"/>
      <c r="K307" s="1643"/>
      <c r="L307" s="1643"/>
      <c r="M307" s="1634"/>
      <c r="N307" s="1644"/>
      <c r="O307" s="1624"/>
      <c r="P307" s="934"/>
      <c r="Q307" s="934"/>
      <c r="R307" s="939"/>
      <c r="S307" s="939"/>
      <c r="T307" s="939"/>
      <c r="U307" s="939"/>
      <c r="V307" s="939"/>
    </row>
    <row r="308" spans="1:22" ht="15" thickTop="1" thickBot="1" x14ac:dyDescent="0.3">
      <c r="A308" s="937"/>
      <c r="B308" s="938"/>
      <c r="C308" s="938"/>
      <c r="D308" s="938" t="s">
        <v>1897</v>
      </c>
      <c r="E308" s="1624">
        <v>3</v>
      </c>
      <c r="F308" s="1624">
        <v>2.39</v>
      </c>
      <c r="G308" s="1624"/>
      <c r="H308" s="1624">
        <v>0.22500000000000001</v>
      </c>
      <c r="I308" s="1624">
        <f t="shared" si="69"/>
        <v>1.6132500000000003</v>
      </c>
      <c r="J308" s="1624"/>
      <c r="K308" s="1643"/>
      <c r="L308" s="1643"/>
      <c r="M308" s="1634"/>
      <c r="N308" s="1644"/>
      <c r="O308" s="1624"/>
      <c r="P308" s="934"/>
      <c r="Q308" s="934"/>
      <c r="R308" s="939"/>
      <c r="S308" s="939"/>
      <c r="T308" s="939"/>
      <c r="U308" s="939"/>
      <c r="V308" s="939"/>
    </row>
    <row r="309" spans="1:22" ht="15" thickTop="1" thickBot="1" x14ac:dyDescent="0.3">
      <c r="A309" s="937"/>
      <c r="B309" s="938"/>
      <c r="C309" s="938"/>
      <c r="D309" s="938"/>
      <c r="E309" s="1624">
        <v>6</v>
      </c>
      <c r="F309" s="1624">
        <v>2.39</v>
      </c>
      <c r="G309" s="1624"/>
      <c r="H309" s="1624">
        <v>7.4999999999999997E-2</v>
      </c>
      <c r="I309" s="1624">
        <f t="shared" si="69"/>
        <v>1.0754999999999999</v>
      </c>
      <c r="J309" s="1624"/>
      <c r="K309" s="1643"/>
      <c r="L309" s="1643"/>
      <c r="M309" s="1634"/>
      <c r="N309" s="1644"/>
      <c r="O309" s="1624"/>
      <c r="P309" s="934"/>
      <c r="Q309" s="934"/>
      <c r="R309" s="939"/>
      <c r="S309" s="939"/>
      <c r="T309" s="939"/>
      <c r="U309" s="939"/>
      <c r="V309" s="939"/>
    </row>
    <row r="310" spans="1:22" ht="15" thickTop="1" thickBot="1" x14ac:dyDescent="0.3">
      <c r="A310" s="937"/>
      <c r="B310" s="938"/>
      <c r="C310" s="938"/>
      <c r="D310" s="938"/>
      <c r="E310" s="1624">
        <v>1</v>
      </c>
      <c r="F310" s="1624">
        <v>3.45</v>
      </c>
      <c r="G310" s="1624"/>
      <c r="H310" s="1624">
        <v>0.22500000000000001</v>
      </c>
      <c r="I310" s="1624">
        <f t="shared" si="69"/>
        <v>0.77625000000000011</v>
      </c>
      <c r="J310" s="1624"/>
      <c r="K310" s="1643"/>
      <c r="L310" s="1643"/>
      <c r="M310" s="1634"/>
      <c r="N310" s="1644"/>
      <c r="O310" s="1624"/>
      <c r="P310" s="934"/>
      <c r="Q310" s="934"/>
      <c r="R310" s="939"/>
      <c r="S310" s="939"/>
      <c r="T310" s="939"/>
      <c r="U310" s="939"/>
      <c r="V310" s="939"/>
    </row>
    <row r="311" spans="1:22" ht="15" thickTop="1" thickBot="1" x14ac:dyDescent="0.3">
      <c r="A311" s="937"/>
      <c r="B311" s="938"/>
      <c r="C311" s="938"/>
      <c r="D311" s="938"/>
      <c r="E311" s="1624">
        <v>2</v>
      </c>
      <c r="F311" s="1624">
        <v>3.45</v>
      </c>
      <c r="G311" s="1624"/>
      <c r="H311" s="1624">
        <v>7.4999999999999997E-2</v>
      </c>
      <c r="I311" s="1624">
        <f t="shared" si="69"/>
        <v>0.51749999999999996</v>
      </c>
      <c r="J311" s="1624"/>
      <c r="K311" s="1643"/>
      <c r="L311" s="1643"/>
      <c r="M311" s="1634"/>
      <c r="N311" s="1644"/>
      <c r="O311" s="1624"/>
      <c r="P311" s="934"/>
      <c r="Q311" s="934"/>
      <c r="R311" s="939"/>
      <c r="S311" s="939"/>
      <c r="T311" s="939"/>
      <c r="U311" s="939"/>
      <c r="V311" s="939"/>
    </row>
    <row r="312" spans="1:22" ht="15" thickTop="1" thickBot="1" x14ac:dyDescent="0.3">
      <c r="A312" s="937"/>
      <c r="B312" s="938"/>
      <c r="C312" s="938"/>
      <c r="D312" s="938"/>
      <c r="E312" s="1624">
        <v>2</v>
      </c>
      <c r="F312" s="1624">
        <v>4.04</v>
      </c>
      <c r="G312" s="1624"/>
      <c r="H312" s="1624">
        <v>0.2</v>
      </c>
      <c r="I312" s="1624">
        <f t="shared" si="69"/>
        <v>1.6160000000000001</v>
      </c>
      <c r="J312" s="1624"/>
      <c r="K312" s="1643"/>
      <c r="L312" s="1643"/>
      <c r="M312" s="1634"/>
      <c r="N312" s="1644"/>
      <c r="O312" s="1624"/>
      <c r="P312" s="934"/>
      <c r="Q312" s="934"/>
      <c r="R312" s="939"/>
      <c r="S312" s="939"/>
      <c r="T312" s="939"/>
      <c r="U312" s="939"/>
      <c r="V312" s="939"/>
    </row>
    <row r="313" spans="1:22" ht="14.4" thickTop="1" x14ac:dyDescent="0.25">
      <c r="A313" s="937"/>
      <c r="B313" s="938"/>
      <c r="C313" s="938"/>
      <c r="D313" s="938"/>
      <c r="E313" s="1624">
        <v>4</v>
      </c>
      <c r="F313" s="1624">
        <v>4.04</v>
      </c>
      <c r="G313" s="1624"/>
      <c r="H313" s="1624">
        <v>0.15</v>
      </c>
      <c r="I313" s="1624">
        <f t="shared" si="69"/>
        <v>2.4239999999999999</v>
      </c>
      <c r="J313" s="1624"/>
      <c r="K313" s="1643"/>
      <c r="L313" s="1643"/>
      <c r="M313" s="1644"/>
      <c r="N313" s="1644"/>
      <c r="O313" s="1624"/>
      <c r="P313" s="934"/>
      <c r="Q313" s="934"/>
      <c r="R313" s="939"/>
      <c r="S313" s="939"/>
      <c r="T313" s="939"/>
      <c r="U313" s="939"/>
      <c r="V313" s="939"/>
    </row>
    <row r="314" spans="1:22" x14ac:dyDescent="0.25">
      <c r="A314" s="937"/>
      <c r="B314" s="938"/>
      <c r="C314" s="938"/>
      <c r="D314" s="938"/>
      <c r="E314" s="1624">
        <v>4</v>
      </c>
      <c r="F314" s="1624">
        <v>3.895</v>
      </c>
      <c r="G314" s="1624"/>
      <c r="H314" s="1624">
        <v>0.15</v>
      </c>
      <c r="I314" s="1624">
        <f t="shared" si="69"/>
        <v>2.3369999999999997</v>
      </c>
      <c r="J314" s="1624"/>
      <c r="K314" s="1643"/>
      <c r="L314" s="1643"/>
      <c r="M314" s="1644"/>
      <c r="N314" s="1644"/>
      <c r="O314" s="1624"/>
      <c r="P314" s="934"/>
      <c r="Q314" s="934"/>
      <c r="R314" s="939"/>
      <c r="S314" s="939"/>
      <c r="T314" s="939"/>
      <c r="U314" s="939"/>
      <c r="V314" s="939"/>
    </row>
    <row r="315" spans="1:22" x14ac:dyDescent="0.25">
      <c r="A315" s="937"/>
      <c r="B315" s="938"/>
      <c r="C315" s="938"/>
      <c r="D315" s="938"/>
      <c r="E315" s="1624">
        <v>2</v>
      </c>
      <c r="F315" s="1624">
        <v>3.895</v>
      </c>
      <c r="G315" s="1624"/>
      <c r="H315" s="1624">
        <v>0.2</v>
      </c>
      <c r="I315" s="1624">
        <f t="shared" si="69"/>
        <v>1.5580000000000001</v>
      </c>
      <c r="J315" s="1639">
        <f>SUM(I278:I315)</f>
        <v>102.77700000000003</v>
      </c>
      <c r="K315" s="1639">
        <f>$K$2</f>
        <v>1.05</v>
      </c>
      <c r="L315" s="1639">
        <f t="shared" ref="L315" si="70">K315*J315</f>
        <v>107.91585000000003</v>
      </c>
      <c r="M315" s="1639">
        <f t="shared" ref="M315" si="71">ROUND(L315,1)</f>
        <v>107.9</v>
      </c>
      <c r="N315" s="1639">
        <f t="shared" ref="N315" si="72">ROUNDUP(M315,0)</f>
        <v>108</v>
      </c>
      <c r="O315" s="1624" t="s">
        <v>692</v>
      </c>
      <c r="P315" s="934"/>
      <c r="Q315" s="934"/>
      <c r="R315" s="939"/>
      <c r="S315" s="939"/>
      <c r="T315" s="939"/>
      <c r="U315" s="939"/>
      <c r="V315" s="939"/>
    </row>
    <row r="316" spans="1:22" ht="14.4" thickBot="1" x14ac:dyDescent="0.3">
      <c r="A316" s="937"/>
      <c r="B316" s="938"/>
      <c r="C316" s="938"/>
      <c r="D316" s="938"/>
      <c r="E316" s="1624"/>
      <c r="F316" s="1624"/>
      <c r="G316" s="1624"/>
      <c r="H316" s="1624"/>
      <c r="I316" s="1624"/>
      <c r="J316" s="1624"/>
      <c r="K316" s="1643"/>
      <c r="L316" s="1643"/>
      <c r="M316" s="1634"/>
      <c r="N316" s="1644"/>
      <c r="O316" s="1624"/>
      <c r="P316" s="934"/>
      <c r="Q316" s="934"/>
      <c r="R316" s="939"/>
      <c r="S316" s="939"/>
      <c r="T316" s="939"/>
      <c r="U316" s="939"/>
      <c r="V316" s="939"/>
    </row>
    <row r="317" spans="1:22" ht="15" thickTop="1" thickBot="1" x14ac:dyDescent="0.3">
      <c r="A317" s="937" t="str">
        <f>concrete!A96</f>
        <v>D 5.2</v>
      </c>
      <c r="B317" s="1623" t="str">
        <f>concrete!B96</f>
        <v>In beam at second floor level</v>
      </c>
      <c r="C317" s="938"/>
      <c r="D317" s="938" t="s">
        <v>1899</v>
      </c>
      <c r="E317" s="1624">
        <v>1</v>
      </c>
      <c r="F317" s="1624">
        <v>10.5</v>
      </c>
      <c r="G317" s="1624"/>
      <c r="H317" s="1624">
        <v>0.3</v>
      </c>
      <c r="I317" s="1624">
        <f t="shared" si="69"/>
        <v>3.15</v>
      </c>
      <c r="J317" s="1624"/>
      <c r="K317" s="1643"/>
      <c r="L317" s="1643"/>
      <c r="M317" s="1634"/>
      <c r="N317" s="1644"/>
      <c r="O317" s="1624"/>
      <c r="P317" s="934"/>
      <c r="Q317" s="934"/>
      <c r="R317" s="939"/>
      <c r="S317" s="939"/>
      <c r="T317" s="939"/>
      <c r="U317" s="939"/>
      <c r="V317" s="939"/>
    </row>
    <row r="318" spans="1:22" ht="15" thickTop="1" thickBot="1" x14ac:dyDescent="0.3">
      <c r="A318" s="937"/>
      <c r="B318" s="1623"/>
      <c r="C318" s="938"/>
      <c r="D318" s="938"/>
      <c r="E318" s="1624">
        <v>1</v>
      </c>
      <c r="F318" s="1624">
        <v>10.5</v>
      </c>
      <c r="G318" s="1624"/>
      <c r="H318" s="1624">
        <v>0.22500000000000001</v>
      </c>
      <c r="I318" s="1624">
        <f t="shared" si="69"/>
        <v>2.3625000000000003</v>
      </c>
      <c r="J318" s="1624"/>
      <c r="K318" s="1643"/>
      <c r="L318" s="1643"/>
      <c r="M318" s="1634"/>
      <c r="N318" s="1644"/>
      <c r="O318" s="1624"/>
      <c r="P318" s="934"/>
      <c r="Q318" s="934"/>
      <c r="R318" s="939"/>
      <c r="S318" s="939"/>
      <c r="T318" s="939"/>
      <c r="U318" s="939"/>
      <c r="V318" s="939"/>
    </row>
    <row r="319" spans="1:22" ht="15" thickTop="1" thickBot="1" x14ac:dyDescent="0.3">
      <c r="A319" s="937"/>
      <c r="B319" s="1623"/>
      <c r="C319" s="938"/>
      <c r="D319" s="938" t="s">
        <v>1898</v>
      </c>
      <c r="E319" s="1624">
        <v>1</v>
      </c>
      <c r="F319" s="1624">
        <v>6.15</v>
      </c>
      <c r="G319" s="1624"/>
      <c r="H319" s="1624">
        <v>0.6</v>
      </c>
      <c r="I319" s="1624">
        <f t="shared" si="69"/>
        <v>3.69</v>
      </c>
      <c r="J319" s="1624"/>
      <c r="K319" s="1643"/>
      <c r="L319" s="1643"/>
      <c r="M319" s="1634"/>
      <c r="N319" s="1644"/>
      <c r="O319" s="1624"/>
      <c r="P319" s="934"/>
      <c r="Q319" s="934"/>
      <c r="R319" s="939"/>
      <c r="S319" s="939"/>
      <c r="T319" s="939"/>
      <c r="U319" s="939"/>
      <c r="V319" s="939"/>
    </row>
    <row r="320" spans="1:22" ht="15" thickTop="1" thickBot="1" x14ac:dyDescent="0.3">
      <c r="A320" s="937"/>
      <c r="B320" s="1623"/>
      <c r="C320" s="938"/>
      <c r="D320" s="938"/>
      <c r="E320" s="1624">
        <v>1</v>
      </c>
      <c r="F320" s="1624">
        <v>6.15</v>
      </c>
      <c r="G320" s="1624"/>
      <c r="H320" s="1624">
        <v>0.3</v>
      </c>
      <c r="I320" s="1624">
        <f t="shared" si="69"/>
        <v>1.845</v>
      </c>
      <c r="J320" s="1624"/>
      <c r="K320" s="1643"/>
      <c r="L320" s="1643"/>
      <c r="M320" s="1634"/>
      <c r="N320" s="1644"/>
      <c r="O320" s="1624"/>
      <c r="P320" s="934"/>
      <c r="Q320" s="934"/>
      <c r="R320" s="939"/>
      <c r="S320" s="939"/>
      <c r="T320" s="939"/>
      <c r="U320" s="939"/>
      <c r="V320" s="939"/>
    </row>
    <row r="321" spans="1:22" ht="15" thickTop="1" thickBot="1" x14ac:dyDescent="0.3">
      <c r="A321" s="937"/>
      <c r="B321" s="938"/>
      <c r="C321" s="938"/>
      <c r="D321" s="938" t="s">
        <v>1900</v>
      </c>
      <c r="E321" s="1624">
        <v>1</v>
      </c>
      <c r="F321" s="1624">
        <v>3.875</v>
      </c>
      <c r="G321" s="1624"/>
      <c r="H321" s="1624">
        <v>0.45</v>
      </c>
      <c r="I321" s="1624">
        <f t="shared" si="69"/>
        <v>1.7437500000000001</v>
      </c>
      <c r="J321" s="1624"/>
      <c r="K321" s="1643"/>
      <c r="L321" s="1643"/>
      <c r="M321" s="1634"/>
      <c r="N321" s="1644"/>
      <c r="O321" s="1624"/>
      <c r="P321" s="934"/>
      <c r="Q321" s="934"/>
      <c r="R321" s="939"/>
      <c r="S321" s="939"/>
      <c r="T321" s="939"/>
      <c r="U321" s="939"/>
      <c r="V321" s="939"/>
    </row>
    <row r="322" spans="1:22" ht="15" thickTop="1" thickBot="1" x14ac:dyDescent="0.3">
      <c r="A322" s="937"/>
      <c r="B322" s="938"/>
      <c r="C322" s="938"/>
      <c r="D322" s="938"/>
      <c r="E322" s="1624">
        <v>1</v>
      </c>
      <c r="F322" s="1624">
        <v>3.875</v>
      </c>
      <c r="G322" s="1624"/>
      <c r="H322" s="1624">
        <v>0.3</v>
      </c>
      <c r="I322" s="1624">
        <f t="shared" si="69"/>
        <v>1.1624999999999999</v>
      </c>
      <c r="J322" s="1624"/>
      <c r="K322" s="1643"/>
      <c r="L322" s="1643"/>
      <c r="M322" s="1634"/>
      <c r="N322" s="1644"/>
      <c r="O322" s="1624"/>
      <c r="P322" s="934"/>
      <c r="Q322" s="934"/>
      <c r="R322" s="939"/>
      <c r="S322" s="939"/>
      <c r="T322" s="939"/>
      <c r="U322" s="939"/>
      <c r="V322" s="939"/>
    </row>
    <row r="323" spans="1:22" ht="15" thickTop="1" thickBot="1" x14ac:dyDescent="0.3">
      <c r="A323" s="937"/>
      <c r="B323" s="938"/>
      <c r="C323" s="938"/>
      <c r="D323" s="938" t="s">
        <v>1901</v>
      </c>
      <c r="E323" s="1624">
        <v>1</v>
      </c>
      <c r="F323" s="1624">
        <v>10.27</v>
      </c>
      <c r="G323" s="1624"/>
      <c r="H323" s="1624">
        <v>0.6</v>
      </c>
      <c r="I323" s="1624">
        <f t="shared" si="69"/>
        <v>6.1619999999999999</v>
      </c>
      <c r="J323" s="1624"/>
      <c r="K323" s="1643"/>
      <c r="L323" s="1643"/>
      <c r="M323" s="1634"/>
      <c r="N323" s="1644"/>
      <c r="O323" s="1624"/>
      <c r="P323" s="934"/>
      <c r="Q323" s="934"/>
      <c r="R323" s="939"/>
      <c r="S323" s="939"/>
      <c r="T323" s="939"/>
      <c r="U323" s="939"/>
      <c r="V323" s="939"/>
    </row>
    <row r="324" spans="1:22" ht="15" thickTop="1" thickBot="1" x14ac:dyDescent="0.3">
      <c r="A324" s="937"/>
      <c r="B324" s="938"/>
      <c r="C324" s="938"/>
      <c r="D324" s="938"/>
      <c r="E324" s="1624">
        <v>1</v>
      </c>
      <c r="F324" s="1624">
        <v>10.27</v>
      </c>
      <c r="G324" s="1624"/>
      <c r="H324" s="1624">
        <v>0.22500000000000001</v>
      </c>
      <c r="I324" s="1624">
        <f t="shared" si="69"/>
        <v>2.3107500000000001</v>
      </c>
      <c r="J324" s="1624"/>
      <c r="K324" s="1643"/>
      <c r="L324" s="1643"/>
      <c r="M324" s="1634"/>
      <c r="N324" s="1644"/>
      <c r="O324" s="1624"/>
      <c r="P324" s="934"/>
      <c r="Q324" s="934"/>
      <c r="R324" s="939"/>
      <c r="S324" s="939"/>
      <c r="T324" s="939"/>
      <c r="U324" s="939"/>
      <c r="V324" s="939"/>
    </row>
    <row r="325" spans="1:22" ht="15" thickTop="1" thickBot="1" x14ac:dyDescent="0.3">
      <c r="A325" s="937"/>
      <c r="B325" s="938"/>
      <c r="C325" s="938"/>
      <c r="D325" s="938" t="s">
        <v>1902</v>
      </c>
      <c r="E325" s="1624">
        <v>1</v>
      </c>
      <c r="F325" s="1624">
        <v>10.15</v>
      </c>
      <c r="G325" s="1624"/>
      <c r="H325" s="1624">
        <v>0.45</v>
      </c>
      <c r="I325" s="1624">
        <f t="shared" si="69"/>
        <v>4.5674999999999999</v>
      </c>
      <c r="J325" s="1624"/>
      <c r="K325" s="1643"/>
      <c r="L325" s="1643"/>
      <c r="M325" s="1634"/>
      <c r="N325" s="1644"/>
      <c r="O325" s="1624"/>
      <c r="P325" s="934"/>
      <c r="Q325" s="934"/>
      <c r="R325" s="939"/>
      <c r="S325" s="939"/>
      <c r="T325" s="939"/>
      <c r="U325" s="939"/>
      <c r="V325" s="939"/>
    </row>
    <row r="326" spans="1:22" ht="15" thickTop="1" thickBot="1" x14ac:dyDescent="0.3">
      <c r="A326" s="937"/>
      <c r="B326" s="938"/>
      <c r="C326" s="938"/>
      <c r="D326" s="938"/>
      <c r="E326" s="1624">
        <v>1</v>
      </c>
      <c r="F326" s="1624">
        <v>10.15</v>
      </c>
      <c r="G326" s="1624"/>
      <c r="H326" s="1624">
        <v>0.22500000000000001</v>
      </c>
      <c r="I326" s="1624">
        <f t="shared" si="69"/>
        <v>2.2837499999999999</v>
      </c>
      <c r="J326" s="1624"/>
      <c r="K326" s="1643"/>
      <c r="L326" s="1643"/>
      <c r="M326" s="1634"/>
      <c r="N326" s="1644"/>
      <c r="O326" s="1624"/>
      <c r="P326" s="934"/>
      <c r="Q326" s="934"/>
      <c r="R326" s="939"/>
      <c r="S326" s="939"/>
      <c r="T326" s="939"/>
      <c r="U326" s="939"/>
      <c r="V326" s="939"/>
    </row>
    <row r="327" spans="1:22" ht="15" thickTop="1" thickBot="1" x14ac:dyDescent="0.3">
      <c r="A327" s="937"/>
      <c r="B327" s="938"/>
      <c r="C327" s="938"/>
      <c r="D327" s="938" t="s">
        <v>1903</v>
      </c>
      <c r="E327" s="1624">
        <v>1</v>
      </c>
      <c r="F327" s="1624">
        <v>11.95</v>
      </c>
      <c r="G327" s="1624"/>
      <c r="H327" s="1624">
        <v>0.45</v>
      </c>
      <c r="I327" s="1624">
        <f t="shared" si="69"/>
        <v>5.3774999999999995</v>
      </c>
      <c r="J327" s="1624"/>
      <c r="K327" s="1643"/>
      <c r="L327" s="1643"/>
      <c r="M327" s="1634"/>
      <c r="N327" s="1644"/>
      <c r="O327" s="1624"/>
      <c r="P327" s="934"/>
      <c r="Q327" s="934"/>
      <c r="R327" s="939"/>
      <c r="S327" s="939"/>
      <c r="T327" s="939"/>
      <c r="U327" s="939"/>
      <c r="V327" s="939"/>
    </row>
    <row r="328" spans="1:22" ht="15" thickTop="1" thickBot="1" x14ac:dyDescent="0.3">
      <c r="A328" s="937"/>
      <c r="B328" s="938"/>
      <c r="C328" s="938"/>
      <c r="D328" s="938"/>
      <c r="E328" s="1624">
        <v>1</v>
      </c>
      <c r="F328" s="1624">
        <v>11.95</v>
      </c>
      <c r="G328" s="1624"/>
      <c r="H328" s="1624">
        <v>0.22500000000000001</v>
      </c>
      <c r="I328" s="1624">
        <f t="shared" si="69"/>
        <v>2.6887499999999998</v>
      </c>
      <c r="J328" s="1624"/>
      <c r="K328" s="1643"/>
      <c r="L328" s="1643"/>
      <c r="M328" s="1634"/>
      <c r="N328" s="1644"/>
      <c r="O328" s="1624"/>
      <c r="P328" s="934"/>
      <c r="Q328" s="934"/>
      <c r="R328" s="939"/>
      <c r="S328" s="939"/>
      <c r="T328" s="939"/>
      <c r="U328" s="939"/>
      <c r="V328" s="939"/>
    </row>
    <row r="329" spans="1:22" ht="15" thickTop="1" thickBot="1" x14ac:dyDescent="0.3">
      <c r="A329" s="937"/>
      <c r="B329" s="938"/>
      <c r="C329" s="938"/>
      <c r="D329" s="938" t="s">
        <v>1904</v>
      </c>
      <c r="E329" s="1624">
        <v>1</v>
      </c>
      <c r="F329" s="1624">
        <v>10.8</v>
      </c>
      <c r="G329" s="1624"/>
      <c r="H329" s="1624">
        <v>0.45</v>
      </c>
      <c r="I329" s="1624">
        <f t="shared" si="69"/>
        <v>4.8600000000000003</v>
      </c>
      <c r="J329" s="1624"/>
      <c r="K329" s="1643"/>
      <c r="L329" s="1643"/>
      <c r="M329" s="1634"/>
      <c r="N329" s="1644"/>
      <c r="O329" s="1624"/>
      <c r="P329" s="934"/>
      <c r="Q329" s="934"/>
      <c r="R329" s="939"/>
      <c r="S329" s="939"/>
      <c r="T329" s="939"/>
      <c r="U329" s="939"/>
      <c r="V329" s="939"/>
    </row>
    <row r="330" spans="1:22" ht="15" thickTop="1" thickBot="1" x14ac:dyDescent="0.3">
      <c r="A330" s="937"/>
      <c r="B330" s="938"/>
      <c r="C330" s="938"/>
      <c r="D330" s="938"/>
      <c r="E330" s="1624">
        <v>1</v>
      </c>
      <c r="F330" s="1624">
        <v>10.8</v>
      </c>
      <c r="G330" s="1624"/>
      <c r="H330" s="1624">
        <v>0.22500000000000001</v>
      </c>
      <c r="I330" s="1624">
        <f t="shared" si="69"/>
        <v>2.4300000000000002</v>
      </c>
      <c r="J330" s="1624"/>
      <c r="K330" s="1643"/>
      <c r="L330" s="1643"/>
      <c r="M330" s="1634"/>
      <c r="N330" s="1644"/>
      <c r="O330" s="1624"/>
      <c r="P330" s="934"/>
      <c r="Q330" s="934"/>
      <c r="R330" s="939"/>
      <c r="S330" s="939"/>
      <c r="T330" s="939"/>
      <c r="U330" s="939"/>
      <c r="V330" s="939"/>
    </row>
    <row r="331" spans="1:22" ht="15" thickTop="1" thickBot="1" x14ac:dyDescent="0.3">
      <c r="A331" s="937"/>
      <c r="B331" s="938"/>
      <c r="C331" s="938"/>
      <c r="D331" s="938" t="s">
        <v>1905</v>
      </c>
      <c r="E331" s="1624">
        <v>1</v>
      </c>
      <c r="F331" s="1624">
        <f>0.9+10.8</f>
        <v>11.700000000000001</v>
      </c>
      <c r="G331" s="1624"/>
      <c r="H331" s="1624">
        <v>0.45</v>
      </c>
      <c r="I331" s="1624">
        <f t="shared" si="69"/>
        <v>5.2650000000000006</v>
      </c>
      <c r="J331" s="1624"/>
      <c r="K331" s="1643"/>
      <c r="L331" s="1643"/>
      <c r="M331" s="1634"/>
      <c r="N331" s="1644"/>
      <c r="O331" s="1624"/>
      <c r="P331" s="934"/>
      <c r="Q331" s="934"/>
      <c r="R331" s="939"/>
      <c r="S331" s="939"/>
      <c r="T331" s="939"/>
      <c r="U331" s="939"/>
      <c r="V331" s="939"/>
    </row>
    <row r="332" spans="1:22" ht="15" thickTop="1" thickBot="1" x14ac:dyDescent="0.3">
      <c r="A332" s="937"/>
      <c r="B332" s="938"/>
      <c r="C332" s="938"/>
      <c r="D332" s="938"/>
      <c r="E332" s="1624">
        <v>1</v>
      </c>
      <c r="F332" s="1624">
        <f>0.9+10.8</f>
        <v>11.700000000000001</v>
      </c>
      <c r="G332" s="1624"/>
      <c r="H332" s="1624">
        <v>0.22500000000000001</v>
      </c>
      <c r="I332" s="1624">
        <f t="shared" si="69"/>
        <v>2.6325000000000003</v>
      </c>
      <c r="J332" s="1624"/>
      <c r="K332" s="1643"/>
      <c r="L332" s="1643"/>
      <c r="M332" s="1634"/>
      <c r="N332" s="1644"/>
      <c r="O332" s="1624"/>
      <c r="P332" s="934"/>
      <c r="Q332" s="934"/>
      <c r="R332" s="939"/>
      <c r="S332" s="939"/>
      <c r="T332" s="939"/>
      <c r="U332" s="939"/>
      <c r="V332" s="939"/>
    </row>
    <row r="333" spans="1:22" ht="15" thickTop="1" thickBot="1" x14ac:dyDescent="0.3">
      <c r="A333" s="937"/>
      <c r="B333" s="938"/>
      <c r="C333" s="938"/>
      <c r="D333" s="938" t="s">
        <v>1906</v>
      </c>
      <c r="E333" s="1624">
        <v>1</v>
      </c>
      <c r="F333" s="1624">
        <v>10.8</v>
      </c>
      <c r="G333" s="1624"/>
      <c r="H333" s="1624">
        <v>0.3</v>
      </c>
      <c r="I333" s="1624">
        <f t="shared" si="69"/>
        <v>3.24</v>
      </c>
      <c r="J333" s="1624"/>
      <c r="K333" s="1643"/>
      <c r="L333" s="1643"/>
      <c r="M333" s="1634"/>
      <c r="N333" s="1644"/>
      <c r="O333" s="1624"/>
      <c r="P333" s="934"/>
      <c r="Q333" s="934"/>
      <c r="R333" s="939"/>
      <c r="S333" s="939"/>
      <c r="T333" s="939"/>
      <c r="U333" s="939"/>
      <c r="V333" s="939"/>
    </row>
    <row r="334" spans="1:22" ht="15" thickTop="1" thickBot="1" x14ac:dyDescent="0.3">
      <c r="A334" s="937"/>
      <c r="B334" s="938"/>
      <c r="C334" s="938"/>
      <c r="D334" s="938"/>
      <c r="E334" s="1624">
        <v>1</v>
      </c>
      <c r="F334" s="1624">
        <v>10.8</v>
      </c>
      <c r="G334" s="1624"/>
      <c r="H334" s="1624">
        <v>0.22500000000000001</v>
      </c>
      <c r="I334" s="1624">
        <f t="shared" si="69"/>
        <v>2.4300000000000002</v>
      </c>
      <c r="J334" s="1624"/>
      <c r="K334" s="1643"/>
      <c r="L334" s="1643"/>
      <c r="M334" s="1634"/>
      <c r="N334" s="1644"/>
      <c r="O334" s="1624"/>
      <c r="P334" s="934"/>
      <c r="Q334" s="934"/>
      <c r="R334" s="939"/>
      <c r="S334" s="939"/>
      <c r="T334" s="939"/>
      <c r="U334" s="939"/>
      <c r="V334" s="939"/>
    </row>
    <row r="335" spans="1:22" ht="15" thickTop="1" thickBot="1" x14ac:dyDescent="0.3">
      <c r="A335" s="937"/>
      <c r="B335" s="938"/>
      <c r="C335" s="938"/>
      <c r="D335" s="938" t="s">
        <v>1907</v>
      </c>
      <c r="E335" s="1624">
        <v>1</v>
      </c>
      <c r="F335" s="1624">
        <f>4.725</f>
        <v>4.7249999999999996</v>
      </c>
      <c r="G335" s="1624"/>
      <c r="H335" s="1624">
        <v>0.22500000000000001</v>
      </c>
      <c r="I335" s="1624">
        <f t="shared" si="69"/>
        <v>1.0631249999999999</v>
      </c>
      <c r="J335" s="1624"/>
      <c r="K335" s="1643"/>
      <c r="L335" s="1643"/>
      <c r="M335" s="1634"/>
      <c r="N335" s="1644"/>
      <c r="O335" s="1624"/>
      <c r="P335" s="934"/>
      <c r="Q335" s="934"/>
      <c r="R335" s="939"/>
      <c r="S335" s="939"/>
      <c r="T335" s="939"/>
      <c r="U335" s="939"/>
      <c r="V335" s="939"/>
    </row>
    <row r="336" spans="1:22" ht="15" thickTop="1" thickBot="1" x14ac:dyDescent="0.3">
      <c r="A336" s="937"/>
      <c r="B336" s="938"/>
      <c r="C336" s="938"/>
      <c r="D336" s="938"/>
      <c r="E336" s="1624">
        <v>1</v>
      </c>
      <c r="F336" s="1624">
        <f>4.725</f>
        <v>4.7249999999999996</v>
      </c>
      <c r="G336" s="1624"/>
      <c r="H336" s="1624">
        <v>0.15</v>
      </c>
      <c r="I336" s="1624">
        <f t="shared" si="69"/>
        <v>0.70874999999999988</v>
      </c>
      <c r="J336" s="1624"/>
      <c r="K336" s="1643"/>
      <c r="L336" s="1643"/>
      <c r="M336" s="1634"/>
      <c r="N336" s="1644"/>
      <c r="O336" s="1624"/>
      <c r="P336" s="934"/>
      <c r="Q336" s="934"/>
      <c r="R336" s="939"/>
      <c r="S336" s="939"/>
      <c r="T336" s="939"/>
      <c r="U336" s="939"/>
      <c r="V336" s="939"/>
    </row>
    <row r="337" spans="1:22" ht="15" thickTop="1" thickBot="1" x14ac:dyDescent="0.3">
      <c r="A337" s="937"/>
      <c r="B337" s="938"/>
      <c r="C337" s="938"/>
      <c r="D337" s="938"/>
      <c r="E337" s="1624">
        <v>2</v>
      </c>
      <c r="F337" s="1624">
        <v>3</v>
      </c>
      <c r="G337" s="1624"/>
      <c r="H337" s="1624">
        <v>0.1</v>
      </c>
      <c r="I337" s="1624">
        <f t="shared" si="69"/>
        <v>0.60000000000000009</v>
      </c>
      <c r="J337" s="1624"/>
      <c r="K337" s="1643"/>
      <c r="L337" s="1643"/>
      <c r="M337" s="1634"/>
      <c r="N337" s="1644"/>
      <c r="O337" s="1624"/>
      <c r="P337" s="934"/>
      <c r="Q337" s="934"/>
      <c r="R337" s="939"/>
      <c r="S337" s="939"/>
      <c r="T337" s="939"/>
      <c r="U337" s="939"/>
      <c r="V337" s="939"/>
    </row>
    <row r="338" spans="1:22" ht="15" thickTop="1" thickBot="1" x14ac:dyDescent="0.3">
      <c r="A338" s="937"/>
      <c r="B338" s="938"/>
      <c r="C338" s="938"/>
      <c r="D338" s="938"/>
      <c r="E338" s="1624">
        <v>4</v>
      </c>
      <c r="F338" s="1624">
        <v>3</v>
      </c>
      <c r="G338" s="1624"/>
      <c r="H338" s="1624">
        <v>0.22500000000000001</v>
      </c>
      <c r="I338" s="1624">
        <f t="shared" si="69"/>
        <v>2.7</v>
      </c>
      <c r="J338" s="1624"/>
      <c r="K338" s="1643"/>
      <c r="L338" s="1643"/>
      <c r="M338" s="1634"/>
      <c r="N338" s="1644"/>
      <c r="O338" s="1624"/>
      <c r="P338" s="934"/>
      <c r="Q338" s="934"/>
      <c r="R338" s="939"/>
      <c r="S338" s="939"/>
      <c r="T338" s="939"/>
      <c r="U338" s="939"/>
      <c r="V338" s="939"/>
    </row>
    <row r="339" spans="1:22" ht="15" thickTop="1" thickBot="1" x14ac:dyDescent="0.3">
      <c r="A339" s="937"/>
      <c r="B339" s="938"/>
      <c r="C339" s="938"/>
      <c r="D339" s="938"/>
      <c r="E339" s="1624">
        <v>2</v>
      </c>
      <c r="F339" s="1624">
        <v>4</v>
      </c>
      <c r="G339" s="1624"/>
      <c r="H339" s="1624">
        <v>0.1</v>
      </c>
      <c r="I339" s="1624">
        <f t="shared" si="69"/>
        <v>0.8</v>
      </c>
      <c r="J339" s="1624"/>
      <c r="K339" s="1643"/>
      <c r="L339" s="1643"/>
      <c r="M339" s="1634"/>
      <c r="N339" s="1644"/>
      <c r="O339" s="1624"/>
      <c r="P339" s="934"/>
      <c r="Q339" s="934"/>
      <c r="R339" s="939"/>
      <c r="S339" s="939"/>
      <c r="T339" s="939"/>
      <c r="U339" s="939"/>
      <c r="V339" s="939"/>
    </row>
    <row r="340" spans="1:22" ht="15" thickTop="1" thickBot="1" x14ac:dyDescent="0.3">
      <c r="A340" s="937"/>
      <c r="B340" s="938"/>
      <c r="C340" s="938"/>
      <c r="D340" s="938"/>
      <c r="E340" s="1624">
        <v>1</v>
      </c>
      <c r="F340" s="1624">
        <v>4</v>
      </c>
      <c r="G340" s="1624"/>
      <c r="H340" s="1624">
        <v>0.22500000000000001</v>
      </c>
      <c r="I340" s="1624">
        <f t="shared" si="69"/>
        <v>0.9</v>
      </c>
      <c r="J340" s="1624">
        <f>SUM(I317:I340)</f>
        <v>64.973375000000019</v>
      </c>
      <c r="K340" s="1643">
        <f t="shared" ref="K340" si="73">$K$2</f>
        <v>1.05</v>
      </c>
      <c r="L340" s="1643">
        <f t="shared" ref="L340" si="74">K340*J340</f>
        <v>68.222043750000026</v>
      </c>
      <c r="M340" s="1634">
        <f t="shared" ref="M340" si="75">ROUND(L340,1)</f>
        <v>68.2</v>
      </c>
      <c r="N340" s="1644">
        <f t="shared" ref="N340" si="76">ROUNDUP(M340,0)</f>
        <v>69</v>
      </c>
      <c r="O340" s="1624" t="s">
        <v>693</v>
      </c>
      <c r="P340" s="934"/>
      <c r="Q340" s="934"/>
      <c r="R340" s="939"/>
      <c r="S340" s="939"/>
      <c r="T340" s="939"/>
      <c r="U340" s="939"/>
      <c r="V340" s="939"/>
    </row>
    <row r="341" spans="1:22" ht="15" thickTop="1" thickBot="1" x14ac:dyDescent="0.3">
      <c r="A341" s="937"/>
      <c r="B341" s="938"/>
      <c r="C341" s="938"/>
      <c r="D341" s="938"/>
      <c r="E341" s="1624"/>
      <c r="F341" s="1624"/>
      <c r="G341" s="1624"/>
      <c r="H341" s="1624"/>
      <c r="I341" s="1624"/>
      <c r="J341" s="1624"/>
      <c r="K341" s="1643"/>
      <c r="L341" s="1643"/>
      <c r="M341" s="1634"/>
      <c r="N341" s="1644"/>
      <c r="O341" s="1624"/>
      <c r="P341" s="934"/>
      <c r="Q341" s="934"/>
      <c r="R341" s="939"/>
      <c r="S341" s="939"/>
      <c r="T341" s="939"/>
      <c r="U341" s="939"/>
      <c r="V341" s="939"/>
    </row>
    <row r="342" spans="1:22" ht="15" thickTop="1" thickBot="1" x14ac:dyDescent="0.3">
      <c r="A342" s="937" t="s">
        <v>456</v>
      </c>
      <c r="B342" s="1623" t="str">
        <f>concrete!B49</f>
        <v>In Reinforced beam at Terrace floor level (with Swimming Pool)</v>
      </c>
      <c r="C342" s="938"/>
      <c r="D342" s="938" t="s">
        <v>1908</v>
      </c>
      <c r="E342" s="1624">
        <v>1</v>
      </c>
      <c r="F342" s="1624">
        <v>7.1</v>
      </c>
      <c r="G342" s="1624"/>
      <c r="H342" s="1624">
        <v>0.3</v>
      </c>
      <c r="I342" s="1624">
        <f t="shared" si="69"/>
        <v>2.13</v>
      </c>
      <c r="J342" s="1624"/>
      <c r="K342" s="1643"/>
      <c r="L342" s="1643"/>
      <c r="M342" s="1634"/>
      <c r="N342" s="1644"/>
      <c r="O342" s="1624"/>
      <c r="P342" s="934"/>
      <c r="Q342" s="934"/>
      <c r="R342" s="939"/>
      <c r="S342" s="939"/>
      <c r="T342" s="939"/>
      <c r="U342" s="939"/>
      <c r="V342" s="939"/>
    </row>
    <row r="343" spans="1:22" ht="15" thickTop="1" thickBot="1" x14ac:dyDescent="0.3">
      <c r="A343" s="937"/>
      <c r="B343" s="1623"/>
      <c r="C343" s="938"/>
      <c r="D343" s="938"/>
      <c r="E343" s="1624">
        <v>1</v>
      </c>
      <c r="F343" s="1624">
        <v>7.1</v>
      </c>
      <c r="G343" s="1624"/>
      <c r="H343" s="1624">
        <v>0.22500000000000001</v>
      </c>
      <c r="I343" s="1624">
        <f t="shared" ref="I343:I361" si="77">F343*H343*E343</f>
        <v>1.5974999999999999</v>
      </c>
      <c r="J343" s="1624"/>
      <c r="K343" s="1643"/>
      <c r="L343" s="1643"/>
      <c r="M343" s="1634"/>
      <c r="N343" s="1644"/>
      <c r="O343" s="1624"/>
      <c r="P343" s="934"/>
      <c r="Q343" s="934"/>
      <c r="R343" s="939"/>
      <c r="S343" s="939"/>
      <c r="T343" s="939"/>
      <c r="U343" s="939"/>
      <c r="V343" s="939"/>
    </row>
    <row r="344" spans="1:22" ht="15" thickTop="1" thickBot="1" x14ac:dyDescent="0.3">
      <c r="A344" s="937"/>
      <c r="B344" s="938"/>
      <c r="C344" s="938"/>
      <c r="D344" s="938" t="s">
        <v>1909</v>
      </c>
      <c r="E344" s="1624">
        <v>1</v>
      </c>
      <c r="F344" s="1624">
        <v>5.15</v>
      </c>
      <c r="G344" s="1624"/>
      <c r="H344" s="1624">
        <v>0.45</v>
      </c>
      <c r="I344" s="1624">
        <f t="shared" si="77"/>
        <v>2.3175000000000003</v>
      </c>
      <c r="J344" s="1624"/>
      <c r="K344" s="1643"/>
      <c r="L344" s="1643"/>
      <c r="M344" s="1634"/>
      <c r="N344" s="1644"/>
      <c r="O344" s="1624"/>
      <c r="P344" s="934"/>
      <c r="Q344" s="934"/>
      <c r="R344" s="939"/>
      <c r="S344" s="939"/>
      <c r="T344" s="939"/>
      <c r="U344" s="939"/>
      <c r="V344" s="939"/>
    </row>
    <row r="345" spans="1:22" ht="15" thickTop="1" thickBot="1" x14ac:dyDescent="0.3">
      <c r="A345" s="937"/>
      <c r="B345" s="938"/>
      <c r="C345" s="938"/>
      <c r="D345" s="938"/>
      <c r="E345" s="1624">
        <v>1</v>
      </c>
      <c r="F345" s="1624">
        <v>5.15</v>
      </c>
      <c r="G345" s="1624"/>
      <c r="H345" s="1624">
        <v>0.22500000000000001</v>
      </c>
      <c r="I345" s="1624">
        <f t="shared" si="77"/>
        <v>1.1587500000000002</v>
      </c>
      <c r="J345" s="1624"/>
      <c r="K345" s="1643"/>
      <c r="L345" s="1643"/>
      <c r="M345" s="1634"/>
      <c r="N345" s="1644"/>
      <c r="O345" s="1624"/>
      <c r="P345" s="934"/>
      <c r="Q345" s="934"/>
      <c r="R345" s="939"/>
      <c r="S345" s="939"/>
      <c r="T345" s="939"/>
      <c r="U345" s="939"/>
      <c r="V345" s="939"/>
    </row>
    <row r="346" spans="1:22" ht="15" thickTop="1" thickBot="1" x14ac:dyDescent="0.3">
      <c r="A346" s="937"/>
      <c r="B346" s="938"/>
      <c r="C346" s="938"/>
      <c r="D346" s="938" t="s">
        <v>1910</v>
      </c>
      <c r="E346" s="1624">
        <v>1</v>
      </c>
      <c r="F346" s="1624">
        <v>3.7</v>
      </c>
      <c r="G346" s="1624"/>
      <c r="H346" s="1624">
        <v>0.45</v>
      </c>
      <c r="I346" s="1624">
        <f t="shared" si="77"/>
        <v>1.665</v>
      </c>
      <c r="J346" s="1624"/>
      <c r="K346" s="1643"/>
      <c r="L346" s="1643"/>
      <c r="M346" s="1634"/>
      <c r="N346" s="1644"/>
      <c r="O346" s="1624"/>
      <c r="P346" s="934"/>
      <c r="Q346" s="934"/>
      <c r="R346" s="939"/>
      <c r="S346" s="939"/>
      <c r="T346" s="939"/>
      <c r="U346" s="939"/>
      <c r="V346" s="939"/>
    </row>
    <row r="347" spans="1:22" ht="15" thickTop="1" thickBot="1" x14ac:dyDescent="0.3">
      <c r="A347" s="937"/>
      <c r="B347" s="938"/>
      <c r="C347" s="938"/>
      <c r="D347" s="938"/>
      <c r="E347" s="1624">
        <v>1</v>
      </c>
      <c r="F347" s="1624">
        <v>3.7</v>
      </c>
      <c r="G347" s="1624"/>
      <c r="H347" s="1624">
        <v>0.22500000000000001</v>
      </c>
      <c r="I347" s="1624">
        <f t="shared" si="77"/>
        <v>0.83250000000000002</v>
      </c>
      <c r="J347" s="1624"/>
      <c r="K347" s="1643"/>
      <c r="L347" s="1643"/>
      <c r="M347" s="1634"/>
      <c r="N347" s="1644"/>
      <c r="O347" s="1624"/>
      <c r="P347" s="934"/>
      <c r="Q347" s="934"/>
      <c r="R347" s="939"/>
      <c r="S347" s="939"/>
      <c r="T347" s="939"/>
      <c r="U347" s="939"/>
      <c r="V347" s="939"/>
    </row>
    <row r="348" spans="1:22" ht="15" thickTop="1" thickBot="1" x14ac:dyDescent="0.3">
      <c r="A348" s="937"/>
      <c r="B348" s="938"/>
      <c r="C348" s="938"/>
      <c r="D348" s="938" t="s">
        <v>1911</v>
      </c>
      <c r="E348" s="1624">
        <v>1</v>
      </c>
      <c r="F348" s="1624">
        <v>6.05</v>
      </c>
      <c r="G348" s="1624"/>
      <c r="H348" s="1624">
        <v>0.45</v>
      </c>
      <c r="I348" s="1624">
        <f t="shared" si="77"/>
        <v>2.7225000000000001</v>
      </c>
      <c r="J348" s="1624"/>
      <c r="K348" s="1643"/>
      <c r="L348" s="1643"/>
      <c r="M348" s="1634"/>
      <c r="N348" s="1644"/>
      <c r="O348" s="1624"/>
      <c r="P348" s="934"/>
      <c r="Q348" s="934"/>
      <c r="R348" s="939"/>
      <c r="S348" s="939"/>
      <c r="T348" s="939"/>
      <c r="U348" s="939"/>
      <c r="V348" s="939"/>
    </row>
    <row r="349" spans="1:22" ht="15" thickTop="1" thickBot="1" x14ac:dyDescent="0.3">
      <c r="A349" s="937"/>
      <c r="B349" s="938"/>
      <c r="C349" s="938"/>
      <c r="D349" s="938"/>
      <c r="E349" s="1624">
        <v>1</v>
      </c>
      <c r="F349" s="1624">
        <v>6.05</v>
      </c>
      <c r="G349" s="1624"/>
      <c r="H349" s="1624">
        <v>0.22500000000000001</v>
      </c>
      <c r="I349" s="1624">
        <f t="shared" si="77"/>
        <v>1.3612500000000001</v>
      </c>
      <c r="J349" s="1624"/>
      <c r="K349" s="1643"/>
      <c r="L349" s="1643"/>
      <c r="M349" s="1634"/>
      <c r="N349" s="1644"/>
      <c r="O349" s="1624"/>
      <c r="P349" s="934"/>
      <c r="Q349" s="934"/>
      <c r="R349" s="939"/>
      <c r="S349" s="939"/>
      <c r="T349" s="939"/>
      <c r="U349" s="939"/>
      <c r="V349" s="939"/>
    </row>
    <row r="350" spans="1:22" ht="15" thickTop="1" thickBot="1" x14ac:dyDescent="0.3">
      <c r="A350" s="937"/>
      <c r="B350" s="938"/>
      <c r="C350" s="938"/>
      <c r="D350" s="938" t="s">
        <v>1912</v>
      </c>
      <c r="E350" s="1624">
        <v>1</v>
      </c>
      <c r="F350" s="1624">
        <v>2.4500000000000002</v>
      </c>
      <c r="G350" s="1624"/>
      <c r="H350" s="1624">
        <v>0.3</v>
      </c>
      <c r="I350" s="1624">
        <f t="shared" si="77"/>
        <v>0.73499999999999999</v>
      </c>
      <c r="J350" s="1624"/>
      <c r="K350" s="1643"/>
      <c r="L350" s="1643"/>
      <c r="M350" s="1634"/>
      <c r="N350" s="1644"/>
      <c r="O350" s="1624"/>
      <c r="P350" s="934"/>
      <c r="Q350" s="934"/>
      <c r="R350" s="939"/>
      <c r="S350" s="939"/>
      <c r="T350" s="939"/>
      <c r="U350" s="939"/>
      <c r="V350" s="939"/>
    </row>
    <row r="351" spans="1:22" ht="15" thickTop="1" thickBot="1" x14ac:dyDescent="0.3">
      <c r="A351" s="937"/>
      <c r="B351" s="938"/>
      <c r="C351" s="938"/>
      <c r="D351" s="938"/>
      <c r="E351" s="1624">
        <v>1</v>
      </c>
      <c r="F351" s="1624">
        <v>2.4500000000000002</v>
      </c>
      <c r="G351" s="1624"/>
      <c r="H351" s="1624">
        <v>0.22500000000000001</v>
      </c>
      <c r="I351" s="1624">
        <f t="shared" si="77"/>
        <v>0.55125000000000002</v>
      </c>
      <c r="J351" s="1624"/>
      <c r="K351" s="1643"/>
      <c r="L351" s="1643"/>
      <c r="M351" s="1634"/>
      <c r="N351" s="1644"/>
      <c r="O351" s="1624"/>
      <c r="P351" s="934"/>
      <c r="Q351" s="934"/>
      <c r="R351" s="939"/>
      <c r="S351" s="939"/>
      <c r="T351" s="939"/>
      <c r="U351" s="939"/>
      <c r="V351" s="939"/>
    </row>
    <row r="352" spans="1:22" ht="15" thickTop="1" thickBot="1" x14ac:dyDescent="0.3">
      <c r="A352" s="937"/>
      <c r="B352" s="938"/>
      <c r="C352" s="938"/>
      <c r="D352" s="938" t="s">
        <v>1913</v>
      </c>
      <c r="E352" s="1624">
        <v>1</v>
      </c>
      <c r="F352" s="1624">
        <v>4.9000000000000004</v>
      </c>
      <c r="G352" s="1624"/>
      <c r="H352" s="1624">
        <v>0.45</v>
      </c>
      <c r="I352" s="1624">
        <f t="shared" si="77"/>
        <v>2.2050000000000001</v>
      </c>
      <c r="J352" s="1624"/>
      <c r="K352" s="1643"/>
      <c r="L352" s="1643"/>
      <c r="M352" s="1634"/>
      <c r="N352" s="1644"/>
      <c r="O352" s="1624"/>
      <c r="P352" s="934"/>
      <c r="Q352" s="934"/>
      <c r="R352" s="939"/>
      <c r="S352" s="939"/>
      <c r="T352" s="939"/>
      <c r="U352" s="939"/>
      <c r="V352" s="939"/>
    </row>
    <row r="353" spans="1:22" ht="15" thickTop="1" thickBot="1" x14ac:dyDescent="0.3">
      <c r="A353" s="937"/>
      <c r="B353" s="938"/>
      <c r="C353" s="938"/>
      <c r="D353" s="938"/>
      <c r="E353" s="1624">
        <v>1</v>
      </c>
      <c r="F353" s="1624">
        <v>4.9000000000000004</v>
      </c>
      <c r="G353" s="1624"/>
      <c r="H353" s="1624">
        <v>0.22500000000000001</v>
      </c>
      <c r="I353" s="1624">
        <f t="shared" si="77"/>
        <v>1.1025</v>
      </c>
      <c r="J353" s="1624"/>
      <c r="K353" s="1643"/>
      <c r="L353" s="1643"/>
      <c r="M353" s="1634"/>
      <c r="N353" s="1644"/>
      <c r="O353" s="1624"/>
      <c r="P353" s="934"/>
      <c r="Q353" s="934"/>
      <c r="R353" s="939"/>
      <c r="S353" s="939"/>
      <c r="T353" s="939"/>
      <c r="U353" s="939"/>
      <c r="V353" s="939"/>
    </row>
    <row r="354" spans="1:22" ht="15" thickTop="1" thickBot="1" x14ac:dyDescent="0.3">
      <c r="A354" s="937"/>
      <c r="B354" s="938"/>
      <c r="C354" s="938"/>
      <c r="D354" s="938" t="s">
        <v>1914</v>
      </c>
      <c r="E354" s="1624">
        <v>1</v>
      </c>
      <c r="F354" s="1624">
        <v>2.4500000000000002</v>
      </c>
      <c r="G354" s="1624"/>
      <c r="H354" s="1624">
        <v>0.3</v>
      </c>
      <c r="I354" s="1624">
        <f t="shared" si="77"/>
        <v>0.73499999999999999</v>
      </c>
      <c r="J354" s="1624"/>
      <c r="K354" s="1643"/>
      <c r="L354" s="1643"/>
      <c r="M354" s="1634"/>
      <c r="N354" s="1644"/>
      <c r="O354" s="1624"/>
      <c r="P354" s="934"/>
      <c r="Q354" s="934"/>
      <c r="R354" s="939"/>
      <c r="S354" s="939"/>
      <c r="T354" s="939"/>
      <c r="U354" s="939"/>
      <c r="V354" s="939"/>
    </row>
    <row r="355" spans="1:22" ht="15" thickTop="1" thickBot="1" x14ac:dyDescent="0.3">
      <c r="A355" s="937"/>
      <c r="B355" s="938"/>
      <c r="C355" s="938"/>
      <c r="D355" s="938"/>
      <c r="E355" s="1624">
        <v>1</v>
      </c>
      <c r="F355" s="1624">
        <v>2.4500000000000002</v>
      </c>
      <c r="G355" s="1624"/>
      <c r="H355" s="1624">
        <v>0.22500000000000001</v>
      </c>
      <c r="I355" s="1624">
        <f t="shared" si="77"/>
        <v>0.55125000000000002</v>
      </c>
      <c r="J355" s="1624"/>
      <c r="K355" s="1643"/>
      <c r="L355" s="1643"/>
      <c r="M355" s="1634"/>
      <c r="N355" s="1644"/>
      <c r="O355" s="1624"/>
      <c r="P355" s="934"/>
      <c r="Q355" s="934"/>
      <c r="R355" s="939"/>
      <c r="S355" s="939"/>
      <c r="T355" s="939"/>
      <c r="U355" s="939"/>
      <c r="V355" s="939"/>
    </row>
    <row r="356" spans="1:22" ht="15" thickTop="1" thickBot="1" x14ac:dyDescent="0.3">
      <c r="A356" s="937"/>
      <c r="B356" s="938"/>
      <c r="C356" s="938"/>
      <c r="D356" s="938" t="s">
        <v>1915</v>
      </c>
      <c r="E356" s="1624">
        <v>1</v>
      </c>
      <c r="F356" s="1624">
        <v>3.125</v>
      </c>
      <c r="G356" s="1624"/>
      <c r="H356" s="1624">
        <v>0.3</v>
      </c>
      <c r="I356" s="1624">
        <f t="shared" si="77"/>
        <v>0.9375</v>
      </c>
      <c r="J356" s="1624"/>
      <c r="K356" s="1643"/>
      <c r="L356" s="1643"/>
      <c r="M356" s="1634"/>
      <c r="N356" s="1644"/>
      <c r="O356" s="1624"/>
      <c r="P356" s="934"/>
      <c r="Q356" s="934"/>
      <c r="R356" s="939"/>
      <c r="S356" s="939"/>
      <c r="T356" s="939"/>
      <c r="U356" s="939"/>
      <c r="V356" s="939"/>
    </row>
    <row r="357" spans="1:22" ht="15" thickTop="1" thickBot="1" x14ac:dyDescent="0.3">
      <c r="A357" s="937"/>
      <c r="B357" s="938"/>
      <c r="C357" s="938"/>
      <c r="D357" s="938"/>
      <c r="E357" s="1624">
        <v>1</v>
      </c>
      <c r="F357" s="1624">
        <v>3.125</v>
      </c>
      <c r="G357" s="1624"/>
      <c r="H357" s="1624">
        <v>0.22500000000000001</v>
      </c>
      <c r="I357" s="1624">
        <f t="shared" si="77"/>
        <v>0.703125</v>
      </c>
      <c r="J357" s="1624"/>
      <c r="K357" s="1643"/>
      <c r="L357" s="1643"/>
      <c r="M357" s="1634"/>
      <c r="N357" s="1644"/>
      <c r="O357" s="1624"/>
      <c r="P357" s="934"/>
      <c r="Q357" s="934"/>
      <c r="R357" s="939"/>
      <c r="S357" s="939"/>
      <c r="T357" s="939"/>
      <c r="U357" s="939"/>
      <c r="V357" s="939"/>
    </row>
    <row r="358" spans="1:22" ht="15" thickTop="1" thickBot="1" x14ac:dyDescent="0.3">
      <c r="A358" s="937"/>
      <c r="B358" s="938"/>
      <c r="C358" s="938"/>
      <c r="D358" s="938" t="s">
        <v>1916</v>
      </c>
      <c r="E358" s="1624">
        <v>1</v>
      </c>
      <c r="F358" s="1624">
        <v>3</v>
      </c>
      <c r="G358" s="1624"/>
      <c r="H358" s="1624">
        <v>0.3</v>
      </c>
      <c r="I358" s="1624">
        <f t="shared" si="77"/>
        <v>0.89999999999999991</v>
      </c>
      <c r="J358" s="1624"/>
      <c r="K358" s="1643"/>
      <c r="L358" s="1643"/>
      <c r="M358" s="1634"/>
      <c r="N358" s="1644"/>
      <c r="O358" s="1624"/>
      <c r="P358" s="934"/>
      <c r="Q358" s="934"/>
      <c r="R358" s="939"/>
      <c r="S358" s="939"/>
      <c r="T358" s="939"/>
      <c r="U358" s="939"/>
      <c r="V358" s="939"/>
    </row>
    <row r="359" spans="1:22" ht="15" thickTop="1" thickBot="1" x14ac:dyDescent="0.3">
      <c r="A359" s="937"/>
      <c r="B359" s="938"/>
      <c r="C359" s="938"/>
      <c r="D359" s="938"/>
      <c r="E359" s="1624">
        <v>1</v>
      </c>
      <c r="F359" s="1624">
        <v>3</v>
      </c>
      <c r="G359" s="1624"/>
      <c r="H359" s="1624">
        <v>0.22500000000000001</v>
      </c>
      <c r="I359" s="1624">
        <f t="shared" si="77"/>
        <v>0.67500000000000004</v>
      </c>
      <c r="J359" s="1624"/>
      <c r="K359" s="1643"/>
      <c r="L359" s="1643"/>
      <c r="M359" s="1634"/>
      <c r="N359" s="1644"/>
      <c r="O359" s="1624"/>
      <c r="P359" s="934"/>
      <c r="Q359" s="934"/>
      <c r="R359" s="939"/>
      <c r="S359" s="939"/>
      <c r="T359" s="939"/>
      <c r="U359" s="939"/>
      <c r="V359" s="939"/>
    </row>
    <row r="360" spans="1:22" ht="15" thickTop="1" thickBot="1" x14ac:dyDescent="0.3">
      <c r="A360" s="937"/>
      <c r="B360" s="938"/>
      <c r="C360" s="938"/>
      <c r="D360" s="938"/>
      <c r="E360" s="1624">
        <v>1</v>
      </c>
      <c r="F360" s="1624">
        <v>0.9</v>
      </c>
      <c r="G360" s="1624"/>
      <c r="H360" s="1624">
        <v>0.22500000000000001</v>
      </c>
      <c r="I360" s="1624">
        <f t="shared" si="77"/>
        <v>0.20250000000000001</v>
      </c>
      <c r="J360" s="1624"/>
      <c r="K360" s="1643"/>
      <c r="L360" s="1643"/>
      <c r="M360" s="1634"/>
      <c r="N360" s="1644"/>
      <c r="O360" s="1624"/>
      <c r="P360" s="934"/>
      <c r="Q360" s="934"/>
      <c r="R360" s="939"/>
      <c r="S360" s="939"/>
      <c r="T360" s="939"/>
      <c r="U360" s="939"/>
      <c r="V360" s="939"/>
    </row>
    <row r="361" spans="1:22" ht="15" thickTop="1" thickBot="1" x14ac:dyDescent="0.3">
      <c r="A361" s="937"/>
      <c r="B361" s="938"/>
      <c r="C361" s="938"/>
      <c r="D361" s="938" t="s">
        <v>1917</v>
      </c>
      <c r="E361" s="1624">
        <v>1</v>
      </c>
      <c r="F361" s="1624">
        <v>0.9</v>
      </c>
      <c r="G361" s="1624"/>
      <c r="H361" s="1624">
        <v>0.45</v>
      </c>
      <c r="I361" s="1624">
        <f t="shared" si="77"/>
        <v>0.40500000000000003</v>
      </c>
      <c r="J361" s="1624">
        <f>SUM(I342:I361)</f>
        <v>23.488124999999997</v>
      </c>
      <c r="K361" s="1643">
        <f t="shared" ref="K361" si="78">$K$2</f>
        <v>1.05</v>
      </c>
      <c r="L361" s="1643">
        <f t="shared" ref="L361" si="79">K361*J361</f>
        <v>24.662531249999997</v>
      </c>
      <c r="M361" s="1634">
        <f t="shared" ref="M361" si="80">ROUND(L361,1)</f>
        <v>24.7</v>
      </c>
      <c r="N361" s="1644">
        <f t="shared" ref="N361" si="81">ROUNDUP(M361,0)</f>
        <v>25</v>
      </c>
      <c r="O361" s="1624" t="s">
        <v>693</v>
      </c>
      <c r="P361" s="934"/>
      <c r="Q361" s="934"/>
      <c r="R361" s="939"/>
      <c r="S361" s="939"/>
      <c r="T361" s="939"/>
      <c r="U361" s="939"/>
      <c r="V361" s="939"/>
    </row>
    <row r="362" spans="1:22" ht="15" thickTop="1" thickBot="1" x14ac:dyDescent="0.3">
      <c r="A362" s="937"/>
      <c r="B362" s="938"/>
      <c r="C362" s="938"/>
      <c r="D362" s="938"/>
      <c r="E362" s="1624"/>
      <c r="F362" s="1624"/>
      <c r="G362" s="1624"/>
      <c r="H362" s="1624"/>
      <c r="I362" s="1624"/>
      <c r="J362" s="1624"/>
      <c r="K362" s="1643"/>
      <c r="L362" s="1643"/>
      <c r="M362" s="1634"/>
      <c r="N362" s="1644"/>
      <c r="O362" s="1624"/>
      <c r="P362" s="934"/>
      <c r="Q362" s="934"/>
      <c r="R362" s="939"/>
      <c r="S362" s="939"/>
      <c r="T362" s="939"/>
      <c r="U362" s="939"/>
      <c r="V362" s="939"/>
    </row>
    <row r="363" spans="1:22" s="1660" customFormat="1" ht="15" thickTop="1" thickBot="1" x14ac:dyDescent="0.3">
      <c r="A363" s="1652"/>
      <c r="B363" s="1653"/>
      <c r="C363" s="1653"/>
      <c r="D363" s="1653"/>
      <c r="E363" s="1654"/>
      <c r="F363" s="1654"/>
      <c r="G363" s="1654"/>
      <c r="H363" s="1654"/>
      <c r="I363" s="1654"/>
      <c r="J363" s="1654"/>
      <c r="K363" s="1655"/>
      <c r="L363" s="1655"/>
      <c r="M363" s="1656"/>
      <c r="N363" s="1657"/>
      <c r="O363" s="1654"/>
      <c r="P363" s="1658"/>
      <c r="Q363" s="1658"/>
      <c r="R363" s="1659"/>
      <c r="S363" s="1659"/>
      <c r="T363" s="1659"/>
      <c r="U363" s="1659"/>
      <c r="V363" s="1659"/>
    </row>
    <row r="364" spans="1:22" s="1650" customFormat="1" ht="28.8" thickTop="1" thickBot="1" x14ac:dyDescent="0.3">
      <c r="A364" s="1646" t="str">
        <f>masnry!A7</f>
        <v>F.1</v>
      </c>
      <c r="B364" s="1647" t="str">
        <f>masnry!B6</f>
        <v>Brick work in cement and sand 1:5 in super Structure. ( 9" thick brick work)</v>
      </c>
      <c r="C364" s="1629"/>
      <c r="D364" s="1629"/>
      <c r="E364" s="1639">
        <v>1</v>
      </c>
      <c r="F364" s="1639">
        <v>2.91</v>
      </c>
      <c r="G364" s="1639"/>
      <c r="H364" s="1639">
        <v>3.45</v>
      </c>
      <c r="I364" s="1639">
        <f>H364*E364*F364</f>
        <v>10.0395</v>
      </c>
      <c r="J364" s="1639"/>
      <c r="K364" s="1640"/>
      <c r="L364" s="1640"/>
      <c r="M364" s="1641"/>
      <c r="N364" s="1642"/>
      <c r="O364" s="1639"/>
      <c r="P364" s="1648"/>
      <c r="Q364" s="1648"/>
      <c r="R364" s="1649"/>
      <c r="S364" s="1649"/>
      <c r="T364" s="1649"/>
      <c r="U364" s="1649"/>
      <c r="V364" s="1649"/>
    </row>
    <row r="365" spans="1:22" ht="15" thickTop="1" thickBot="1" x14ac:dyDescent="0.3">
      <c r="A365" s="937"/>
      <c r="B365" s="938"/>
      <c r="C365" s="938"/>
      <c r="D365" s="938"/>
      <c r="E365" s="1624">
        <v>1</v>
      </c>
      <c r="F365" s="1624">
        <v>3.375</v>
      </c>
      <c r="G365" s="1624"/>
      <c r="H365" s="1639">
        <v>3.45</v>
      </c>
      <c r="I365" s="1639">
        <f t="shared" ref="I365:I381" si="82">H365*E365*F365</f>
        <v>11.643750000000001</v>
      </c>
      <c r="J365" s="1624"/>
      <c r="K365" s="1643"/>
      <c r="L365" s="1643"/>
      <c r="M365" s="1634"/>
      <c r="N365" s="1644"/>
      <c r="O365" s="1624"/>
      <c r="P365" s="934"/>
      <c r="Q365" s="934"/>
      <c r="R365" s="939"/>
      <c r="S365" s="939"/>
      <c r="T365" s="939"/>
      <c r="U365" s="939"/>
      <c r="V365" s="939"/>
    </row>
    <row r="366" spans="1:22" ht="15" thickTop="1" thickBot="1" x14ac:dyDescent="0.3">
      <c r="A366" s="937"/>
      <c r="B366" s="938"/>
      <c r="C366" s="938"/>
      <c r="D366" s="938"/>
      <c r="E366" s="1624">
        <v>1</v>
      </c>
      <c r="F366" s="1624">
        <v>3.65</v>
      </c>
      <c r="G366" s="1624"/>
      <c r="H366" s="1639">
        <v>3.45</v>
      </c>
      <c r="I366" s="1639">
        <f t="shared" si="82"/>
        <v>12.592500000000001</v>
      </c>
      <c r="J366" s="1624"/>
      <c r="K366" s="1643"/>
      <c r="L366" s="1643"/>
      <c r="M366" s="1634"/>
      <c r="N366" s="1644"/>
      <c r="O366" s="1624"/>
      <c r="P366" s="934"/>
      <c r="Q366" s="934"/>
      <c r="R366" s="939"/>
      <c r="S366" s="939"/>
      <c r="T366" s="939"/>
      <c r="U366" s="939"/>
      <c r="V366" s="939"/>
    </row>
    <row r="367" spans="1:22" ht="15" thickTop="1" thickBot="1" x14ac:dyDescent="0.3">
      <c r="A367" s="937"/>
      <c r="B367" s="938"/>
      <c r="C367" s="938"/>
      <c r="D367" s="938"/>
      <c r="E367" s="1624">
        <v>1</v>
      </c>
      <c r="F367" s="1624">
        <v>4</v>
      </c>
      <c r="G367" s="1624"/>
      <c r="H367" s="1639">
        <v>3.45</v>
      </c>
      <c r="I367" s="1639">
        <f t="shared" si="82"/>
        <v>13.8</v>
      </c>
      <c r="J367" s="1624"/>
      <c r="K367" s="1643"/>
      <c r="L367" s="1643"/>
      <c r="M367" s="1634"/>
      <c r="N367" s="1644"/>
      <c r="O367" s="1624"/>
      <c r="P367" s="934"/>
      <c r="Q367" s="934"/>
      <c r="R367" s="939"/>
      <c r="S367" s="939"/>
      <c r="T367" s="939"/>
      <c r="U367" s="939"/>
      <c r="V367" s="939"/>
    </row>
    <row r="368" spans="1:22" ht="15" thickTop="1" thickBot="1" x14ac:dyDescent="0.3">
      <c r="A368" s="937"/>
      <c r="B368" s="938"/>
      <c r="C368" s="938"/>
      <c r="D368" s="938"/>
      <c r="E368" s="1624">
        <v>1</v>
      </c>
      <c r="F368" s="1624">
        <v>3.16</v>
      </c>
      <c r="G368" s="1624"/>
      <c r="H368" s="1639">
        <v>3.45</v>
      </c>
      <c r="I368" s="1639">
        <f t="shared" si="82"/>
        <v>10.902000000000001</v>
      </c>
      <c r="J368" s="1624"/>
      <c r="K368" s="1643"/>
      <c r="L368" s="1643"/>
      <c r="M368" s="1634"/>
      <c r="N368" s="1644"/>
      <c r="O368" s="1624"/>
      <c r="P368" s="934"/>
      <c r="Q368" s="934"/>
      <c r="R368" s="939"/>
      <c r="S368" s="939"/>
      <c r="T368" s="939"/>
      <c r="U368" s="939"/>
      <c r="V368" s="939"/>
    </row>
    <row r="369" spans="1:22" ht="15" thickTop="1" thickBot="1" x14ac:dyDescent="0.3">
      <c r="A369" s="937"/>
      <c r="B369" s="938"/>
      <c r="C369" s="938"/>
      <c r="D369" s="938"/>
      <c r="E369" s="1624">
        <v>1</v>
      </c>
      <c r="F369" s="1624">
        <v>14.45</v>
      </c>
      <c r="G369" s="1624"/>
      <c r="H369" s="1639">
        <v>3.45</v>
      </c>
      <c r="I369" s="1639">
        <f t="shared" si="82"/>
        <v>49.852499999999999</v>
      </c>
      <c r="J369" s="1624"/>
      <c r="K369" s="1643"/>
      <c r="L369" s="1643"/>
      <c r="M369" s="1634"/>
      <c r="N369" s="1644"/>
      <c r="O369" s="1624"/>
      <c r="P369" s="934"/>
      <c r="Q369" s="934"/>
      <c r="R369" s="939"/>
      <c r="S369" s="939"/>
      <c r="T369" s="939"/>
      <c r="U369" s="939"/>
      <c r="V369" s="939"/>
    </row>
    <row r="370" spans="1:22" ht="15" thickTop="1" thickBot="1" x14ac:dyDescent="0.3">
      <c r="A370" s="937"/>
      <c r="B370" s="938"/>
      <c r="C370" s="938"/>
      <c r="D370" s="938"/>
      <c r="E370" s="1624">
        <v>1</v>
      </c>
      <c r="F370" s="1624">
        <v>17.899999999999999</v>
      </c>
      <c r="G370" s="1624"/>
      <c r="H370" s="1639">
        <v>3.45</v>
      </c>
      <c r="I370" s="1639">
        <f t="shared" si="82"/>
        <v>61.754999999999995</v>
      </c>
      <c r="J370" s="1624"/>
      <c r="K370" s="1643"/>
      <c r="L370" s="1643"/>
      <c r="M370" s="1634"/>
      <c r="N370" s="1644"/>
      <c r="O370" s="1624"/>
      <c r="P370" s="934"/>
      <c r="Q370" s="934"/>
      <c r="R370" s="939"/>
      <c r="S370" s="939"/>
      <c r="T370" s="939"/>
      <c r="U370" s="939"/>
      <c r="V370" s="939"/>
    </row>
    <row r="371" spans="1:22" ht="15" thickTop="1" thickBot="1" x14ac:dyDescent="0.3">
      <c r="A371" s="937"/>
      <c r="B371" s="938"/>
      <c r="C371" s="938"/>
      <c r="D371" s="938"/>
      <c r="E371" s="1624">
        <v>5</v>
      </c>
      <c r="F371" s="1624">
        <v>3.95</v>
      </c>
      <c r="G371" s="1624"/>
      <c r="H371" s="1639">
        <v>3.45</v>
      </c>
      <c r="I371" s="1639">
        <f t="shared" si="82"/>
        <v>68.137500000000003</v>
      </c>
      <c r="J371" s="1624"/>
      <c r="K371" s="1643"/>
      <c r="L371" s="1643"/>
      <c r="M371" s="1634"/>
      <c r="N371" s="1644"/>
      <c r="O371" s="1624"/>
      <c r="P371" s="934"/>
      <c r="Q371" s="934"/>
      <c r="R371" s="939"/>
      <c r="S371" s="939"/>
      <c r="T371" s="939"/>
      <c r="U371" s="939"/>
      <c r="V371" s="939"/>
    </row>
    <row r="372" spans="1:22" ht="15" thickTop="1" thickBot="1" x14ac:dyDescent="0.3">
      <c r="A372" s="937"/>
      <c r="B372" s="938"/>
      <c r="C372" s="938"/>
      <c r="D372" s="938"/>
      <c r="E372" s="1624">
        <v>1</v>
      </c>
      <c r="F372" s="1624">
        <v>3.25</v>
      </c>
      <c r="G372" s="1624"/>
      <c r="H372" s="1639">
        <v>3.45</v>
      </c>
      <c r="I372" s="1639">
        <f t="shared" si="82"/>
        <v>11.2125</v>
      </c>
      <c r="J372" s="1624"/>
      <c r="K372" s="1643"/>
      <c r="L372" s="1643"/>
      <c r="M372" s="1634"/>
      <c r="N372" s="1644"/>
      <c r="O372" s="1624"/>
      <c r="P372" s="934"/>
      <c r="Q372" s="934"/>
      <c r="R372" s="939"/>
      <c r="S372" s="939"/>
      <c r="T372" s="939"/>
      <c r="U372" s="939"/>
      <c r="V372" s="939"/>
    </row>
    <row r="373" spans="1:22" ht="15" thickTop="1" thickBot="1" x14ac:dyDescent="0.3">
      <c r="A373" s="937"/>
      <c r="B373" s="938"/>
      <c r="C373" s="938"/>
      <c r="D373" s="938"/>
      <c r="E373" s="1624">
        <v>1</v>
      </c>
      <c r="F373" s="1624">
        <v>1.1499999999999999</v>
      </c>
      <c r="G373" s="1624"/>
      <c r="H373" s="1639">
        <v>3.45</v>
      </c>
      <c r="I373" s="1639">
        <f t="shared" si="82"/>
        <v>3.9674999999999998</v>
      </c>
      <c r="J373" s="1624"/>
      <c r="K373" s="1643"/>
      <c r="L373" s="1643"/>
      <c r="M373" s="1634"/>
      <c r="N373" s="1644"/>
      <c r="O373" s="1624"/>
      <c r="P373" s="934"/>
      <c r="Q373" s="934"/>
      <c r="R373" s="939"/>
      <c r="S373" s="939"/>
      <c r="T373" s="939"/>
      <c r="U373" s="939"/>
      <c r="V373" s="939"/>
    </row>
    <row r="374" spans="1:22" ht="15" thickTop="1" thickBot="1" x14ac:dyDescent="0.3">
      <c r="A374" s="937"/>
      <c r="B374" s="938"/>
      <c r="C374" s="938"/>
      <c r="D374" s="938"/>
      <c r="E374" s="1624">
        <v>3</v>
      </c>
      <c r="F374" s="1624">
        <v>3.25</v>
      </c>
      <c r="G374" s="1624"/>
      <c r="H374" s="1639">
        <v>3.45</v>
      </c>
      <c r="I374" s="1639">
        <f t="shared" si="82"/>
        <v>33.637500000000003</v>
      </c>
      <c r="J374" s="1624"/>
      <c r="K374" s="1643"/>
      <c r="L374" s="1643"/>
      <c r="M374" s="1634"/>
      <c r="N374" s="1644"/>
      <c r="O374" s="1624"/>
      <c r="P374" s="934"/>
      <c r="Q374" s="934"/>
      <c r="R374" s="939"/>
      <c r="S374" s="939"/>
      <c r="T374" s="939"/>
      <c r="U374" s="939"/>
      <c r="V374" s="939"/>
    </row>
    <row r="375" spans="1:22" ht="15" thickTop="1" thickBot="1" x14ac:dyDescent="0.3">
      <c r="A375" s="937"/>
      <c r="B375" s="938"/>
      <c r="C375" s="938"/>
      <c r="D375" s="938"/>
      <c r="E375" s="1624">
        <v>3</v>
      </c>
      <c r="F375" s="1624">
        <v>3.25</v>
      </c>
      <c r="G375" s="1624"/>
      <c r="H375" s="1639">
        <v>3.45</v>
      </c>
      <c r="I375" s="1639">
        <f t="shared" si="82"/>
        <v>33.637500000000003</v>
      </c>
      <c r="J375" s="1624"/>
      <c r="K375" s="1643"/>
      <c r="L375" s="1643"/>
      <c r="M375" s="1634"/>
      <c r="N375" s="1644"/>
      <c r="O375" s="1624"/>
      <c r="P375" s="934"/>
      <c r="Q375" s="934"/>
      <c r="R375" s="939"/>
      <c r="S375" s="939"/>
      <c r="T375" s="939"/>
      <c r="U375" s="939"/>
      <c r="V375" s="939"/>
    </row>
    <row r="376" spans="1:22" ht="15" thickTop="1" thickBot="1" x14ac:dyDescent="0.3">
      <c r="A376" s="937"/>
      <c r="B376" s="938"/>
      <c r="C376" s="938"/>
      <c r="D376" s="938"/>
      <c r="E376" s="1624">
        <v>3</v>
      </c>
      <c r="F376" s="1624">
        <v>2.83</v>
      </c>
      <c r="G376" s="1624"/>
      <c r="H376" s="1639">
        <v>3.45</v>
      </c>
      <c r="I376" s="1639">
        <f t="shared" si="82"/>
        <v>29.290500000000005</v>
      </c>
      <c r="J376" s="1624"/>
      <c r="K376" s="1643"/>
      <c r="L376" s="1643"/>
      <c r="M376" s="1634"/>
      <c r="N376" s="1644"/>
      <c r="O376" s="1624"/>
      <c r="P376" s="934"/>
      <c r="Q376" s="934"/>
      <c r="R376" s="939"/>
      <c r="S376" s="939"/>
      <c r="T376" s="939"/>
      <c r="U376" s="939"/>
      <c r="V376" s="939"/>
    </row>
    <row r="377" spans="1:22" ht="15" thickTop="1" thickBot="1" x14ac:dyDescent="0.3">
      <c r="A377" s="937"/>
      <c r="B377" s="938"/>
      <c r="C377" s="938"/>
      <c r="D377" s="938"/>
      <c r="E377" s="1624">
        <v>2</v>
      </c>
      <c r="F377" s="1624">
        <v>3.375</v>
      </c>
      <c r="G377" s="1624"/>
      <c r="H377" s="1639">
        <v>3.45</v>
      </c>
      <c r="I377" s="1639">
        <f t="shared" si="82"/>
        <v>23.287500000000001</v>
      </c>
      <c r="J377" s="1624"/>
      <c r="K377" s="1643"/>
      <c r="L377" s="1643"/>
      <c r="M377" s="1634"/>
      <c r="N377" s="1644"/>
      <c r="O377" s="1624"/>
      <c r="P377" s="934"/>
      <c r="Q377" s="934"/>
      <c r="R377" s="939"/>
      <c r="S377" s="939"/>
      <c r="T377" s="939"/>
      <c r="U377" s="939"/>
      <c r="V377" s="939"/>
    </row>
    <row r="378" spans="1:22" ht="15" thickTop="1" thickBot="1" x14ac:dyDescent="0.3">
      <c r="A378" s="937"/>
      <c r="B378" s="938"/>
      <c r="C378" s="938"/>
      <c r="D378" s="938"/>
      <c r="E378" s="1624">
        <v>2</v>
      </c>
      <c r="F378" s="1624">
        <v>3.65</v>
      </c>
      <c r="G378" s="1624"/>
      <c r="H378" s="1639">
        <v>3.45</v>
      </c>
      <c r="I378" s="1639">
        <f t="shared" si="82"/>
        <v>25.185000000000002</v>
      </c>
      <c r="J378" s="1624"/>
      <c r="K378" s="1643"/>
      <c r="L378" s="1643"/>
      <c r="M378" s="1634"/>
      <c r="N378" s="1644"/>
      <c r="O378" s="1624"/>
      <c r="P378" s="934"/>
      <c r="Q378" s="934"/>
      <c r="R378" s="939"/>
      <c r="S378" s="939"/>
      <c r="T378" s="939"/>
      <c r="U378" s="939"/>
      <c r="V378" s="939"/>
    </row>
    <row r="379" spans="1:22" ht="15" thickTop="1" thickBot="1" x14ac:dyDescent="0.3">
      <c r="A379" s="937"/>
      <c r="B379" s="938"/>
      <c r="C379" s="938"/>
      <c r="D379" s="938"/>
      <c r="E379" s="1624">
        <v>1</v>
      </c>
      <c r="F379" s="1624">
        <v>1.425</v>
      </c>
      <c r="G379" s="1624"/>
      <c r="H379" s="1639">
        <v>3.45</v>
      </c>
      <c r="I379" s="1639">
        <f t="shared" si="82"/>
        <v>4.9162500000000007</v>
      </c>
      <c r="J379" s="1624"/>
      <c r="K379" s="1643"/>
      <c r="L379" s="1643"/>
      <c r="M379" s="1634"/>
      <c r="N379" s="1644"/>
      <c r="O379" s="1624"/>
      <c r="P379" s="934"/>
      <c r="Q379" s="934"/>
      <c r="R379" s="939"/>
      <c r="S379" s="939"/>
      <c r="T379" s="939"/>
      <c r="U379" s="939"/>
      <c r="V379" s="939"/>
    </row>
    <row r="380" spans="1:22" ht="15" thickTop="1" thickBot="1" x14ac:dyDescent="0.3">
      <c r="A380" s="937"/>
      <c r="B380" s="938"/>
      <c r="C380" s="938"/>
      <c r="D380" s="938"/>
      <c r="E380" s="1624">
        <v>1</v>
      </c>
      <c r="F380" s="1624">
        <v>1.35</v>
      </c>
      <c r="G380" s="1624"/>
      <c r="H380" s="1639">
        <v>3.45</v>
      </c>
      <c r="I380" s="1639">
        <f t="shared" si="82"/>
        <v>4.6575000000000006</v>
      </c>
      <c r="J380" s="1624"/>
      <c r="K380" s="1643"/>
      <c r="L380" s="1643"/>
      <c r="M380" s="1634"/>
      <c r="N380" s="1644"/>
      <c r="O380" s="1624"/>
      <c r="P380" s="934"/>
      <c r="Q380" s="934"/>
      <c r="R380" s="939"/>
      <c r="S380" s="939"/>
      <c r="T380" s="939"/>
      <c r="U380" s="939"/>
      <c r="V380" s="939"/>
    </row>
    <row r="381" spans="1:22" ht="15" thickTop="1" thickBot="1" x14ac:dyDescent="0.3">
      <c r="A381" s="937"/>
      <c r="B381" s="938"/>
      <c r="C381" s="938"/>
      <c r="D381" s="938"/>
      <c r="E381" s="1624">
        <v>1</v>
      </c>
      <c r="F381" s="1624">
        <v>4</v>
      </c>
      <c r="G381" s="1624"/>
      <c r="H381" s="1639">
        <v>3.45</v>
      </c>
      <c r="I381" s="1639">
        <f t="shared" si="82"/>
        <v>13.8</v>
      </c>
      <c r="J381" s="1624">
        <f>SUM(I364:I394)</f>
        <v>357.27450000000016</v>
      </c>
      <c r="K381" s="1643">
        <f t="shared" ref="K381" si="83">$K$2</f>
        <v>1.05</v>
      </c>
      <c r="L381" s="1643">
        <f t="shared" ref="L381" si="84">K381*J381</f>
        <v>375.1382250000002</v>
      </c>
      <c r="M381" s="1634">
        <f t="shared" ref="M381" si="85">ROUND(L381,1)</f>
        <v>375.1</v>
      </c>
      <c r="N381" s="1644">
        <f t="shared" ref="N381" si="86">ROUNDUP(M381,0)</f>
        <v>376</v>
      </c>
      <c r="O381" s="1624" t="s">
        <v>692</v>
      </c>
      <c r="P381" s="934"/>
      <c r="Q381" s="934"/>
      <c r="R381" s="939"/>
      <c r="S381" s="939"/>
      <c r="T381" s="939"/>
      <c r="U381" s="939"/>
      <c r="V381" s="939"/>
    </row>
    <row r="382" spans="1:22" ht="15" thickTop="1" thickBot="1" x14ac:dyDescent="0.3">
      <c r="A382" s="937"/>
      <c r="B382" s="938"/>
      <c r="C382" s="938" t="s">
        <v>1865</v>
      </c>
      <c r="D382" s="938">
        <v>-1</v>
      </c>
      <c r="E382" s="1624">
        <v>1</v>
      </c>
      <c r="F382" s="1624">
        <v>1.5</v>
      </c>
      <c r="G382" s="1624"/>
      <c r="H382" s="1639">
        <v>3</v>
      </c>
      <c r="I382" s="1639">
        <f>H382*E382*F382*D382</f>
        <v>-4.5</v>
      </c>
      <c r="J382" s="1624"/>
      <c r="K382" s="1643"/>
      <c r="L382" s="1643"/>
      <c r="M382" s="1634"/>
      <c r="N382" s="1644"/>
      <c r="O382" s="1624"/>
      <c r="P382" s="934"/>
      <c r="Q382" s="934"/>
      <c r="R382" s="939"/>
      <c r="S382" s="939"/>
      <c r="T382" s="939"/>
      <c r="U382" s="939"/>
      <c r="V382" s="939"/>
    </row>
    <row r="383" spans="1:22" ht="15" thickTop="1" thickBot="1" x14ac:dyDescent="0.3">
      <c r="A383" s="937"/>
      <c r="B383" s="938"/>
      <c r="C383" s="938" t="s">
        <v>1872</v>
      </c>
      <c r="D383" s="938">
        <v>-2</v>
      </c>
      <c r="E383" s="1624">
        <v>1</v>
      </c>
      <c r="F383" s="1624">
        <v>3</v>
      </c>
      <c r="G383" s="1624"/>
      <c r="H383" s="1639">
        <v>3</v>
      </c>
      <c r="I383" s="1639">
        <f t="shared" ref="I383:I394" si="87">H383*E383*F383*D383</f>
        <v>-18</v>
      </c>
      <c r="J383" s="1624"/>
      <c r="K383" s="1643"/>
      <c r="L383" s="1643"/>
      <c r="M383" s="1634"/>
      <c r="N383" s="1644"/>
      <c r="O383" s="1624"/>
      <c r="P383" s="934"/>
      <c r="Q383" s="934"/>
      <c r="R383" s="939"/>
      <c r="S383" s="939"/>
      <c r="T383" s="939"/>
      <c r="U383" s="939"/>
      <c r="V383" s="939"/>
    </row>
    <row r="384" spans="1:22" ht="15" thickTop="1" thickBot="1" x14ac:dyDescent="0.3">
      <c r="A384" s="937"/>
      <c r="B384" s="938"/>
      <c r="C384" s="938" t="s">
        <v>1873</v>
      </c>
      <c r="D384" s="938">
        <v>-1</v>
      </c>
      <c r="E384" s="1624">
        <v>1</v>
      </c>
      <c r="F384" s="1624">
        <v>3.1</v>
      </c>
      <c r="G384" s="1624"/>
      <c r="H384" s="1639">
        <v>3</v>
      </c>
      <c r="I384" s="1639">
        <f t="shared" si="87"/>
        <v>-9.3000000000000007</v>
      </c>
      <c r="J384" s="1624"/>
      <c r="K384" s="1643"/>
      <c r="L384" s="1643"/>
      <c r="M384" s="1634"/>
      <c r="N384" s="1644"/>
      <c r="O384" s="1624"/>
      <c r="P384" s="934"/>
      <c r="Q384" s="934"/>
      <c r="R384" s="939"/>
      <c r="S384" s="939"/>
      <c r="T384" s="939"/>
      <c r="U384" s="939"/>
      <c r="V384" s="939"/>
    </row>
    <row r="385" spans="1:22" ht="15" thickTop="1" thickBot="1" x14ac:dyDescent="0.3">
      <c r="A385" s="937"/>
      <c r="B385" s="938"/>
      <c r="C385" s="938" t="s">
        <v>1870</v>
      </c>
      <c r="D385" s="938">
        <v>-1</v>
      </c>
      <c r="E385" s="1624">
        <v>1</v>
      </c>
      <c r="F385" s="1624">
        <v>0.6</v>
      </c>
      <c r="G385" s="1624"/>
      <c r="H385" s="1639">
        <v>1.5</v>
      </c>
      <c r="I385" s="1639">
        <f t="shared" si="87"/>
        <v>-0.89999999999999991</v>
      </c>
      <c r="J385" s="1624"/>
      <c r="K385" s="1643"/>
      <c r="L385" s="1643"/>
      <c r="M385" s="1634"/>
      <c r="N385" s="1644"/>
      <c r="O385" s="1624"/>
      <c r="P385" s="934"/>
      <c r="Q385" s="934"/>
      <c r="R385" s="939"/>
      <c r="S385" s="939"/>
      <c r="T385" s="939"/>
      <c r="U385" s="939"/>
      <c r="V385" s="939"/>
    </row>
    <row r="386" spans="1:22" ht="15" thickTop="1" thickBot="1" x14ac:dyDescent="0.3">
      <c r="A386" s="937"/>
      <c r="B386" s="938"/>
      <c r="C386" s="938" t="s">
        <v>700</v>
      </c>
      <c r="D386" s="938">
        <v>-1</v>
      </c>
      <c r="E386" s="1624">
        <v>1</v>
      </c>
      <c r="F386" s="1624">
        <v>0.8</v>
      </c>
      <c r="G386" s="1624"/>
      <c r="H386" s="1639">
        <v>3</v>
      </c>
      <c r="I386" s="1639">
        <f t="shared" si="87"/>
        <v>-2.4000000000000004</v>
      </c>
      <c r="J386" s="1624"/>
      <c r="K386" s="1643"/>
      <c r="L386" s="1643"/>
      <c r="M386" s="1634"/>
      <c r="N386" s="1644"/>
      <c r="O386" s="1624"/>
      <c r="P386" s="934"/>
      <c r="Q386" s="934"/>
      <c r="R386" s="939"/>
      <c r="S386" s="939"/>
      <c r="T386" s="939"/>
      <c r="U386" s="939"/>
      <c r="V386" s="939"/>
    </row>
    <row r="387" spans="1:22" ht="15" thickTop="1" thickBot="1" x14ac:dyDescent="0.3">
      <c r="A387" s="937"/>
      <c r="B387" s="938"/>
      <c r="C387" s="938" t="s">
        <v>1868</v>
      </c>
      <c r="D387" s="938">
        <v>-1</v>
      </c>
      <c r="E387" s="1624">
        <v>1</v>
      </c>
      <c r="F387" s="1624">
        <v>0.8</v>
      </c>
      <c r="G387" s="1624"/>
      <c r="H387" s="1639">
        <v>3</v>
      </c>
      <c r="I387" s="1639">
        <f t="shared" si="87"/>
        <v>-2.4000000000000004</v>
      </c>
      <c r="J387" s="1624"/>
      <c r="K387" s="1643"/>
      <c r="L387" s="1643"/>
      <c r="M387" s="1634"/>
      <c r="N387" s="1644"/>
      <c r="O387" s="1624"/>
      <c r="P387" s="934"/>
      <c r="Q387" s="934"/>
      <c r="R387" s="939"/>
      <c r="S387" s="939"/>
      <c r="T387" s="939"/>
      <c r="U387" s="939"/>
      <c r="V387" s="939"/>
    </row>
    <row r="388" spans="1:22" ht="15" thickTop="1" thickBot="1" x14ac:dyDescent="0.3">
      <c r="A388" s="937"/>
      <c r="B388" s="938"/>
      <c r="C388" s="938" t="s">
        <v>1866</v>
      </c>
      <c r="D388" s="938">
        <v>-1</v>
      </c>
      <c r="E388" s="1624">
        <v>1</v>
      </c>
      <c r="F388" s="1624">
        <v>0.9</v>
      </c>
      <c r="G388" s="1624"/>
      <c r="H388" s="1639">
        <v>3</v>
      </c>
      <c r="I388" s="1639">
        <f t="shared" si="87"/>
        <v>-2.7</v>
      </c>
      <c r="J388" s="1624"/>
      <c r="K388" s="1643"/>
      <c r="L388" s="1643"/>
      <c r="M388" s="1634"/>
      <c r="N388" s="1644"/>
      <c r="O388" s="1624"/>
      <c r="P388" s="934"/>
      <c r="Q388" s="934"/>
      <c r="R388" s="939"/>
      <c r="S388" s="939"/>
      <c r="T388" s="939"/>
      <c r="U388" s="939"/>
      <c r="V388" s="939"/>
    </row>
    <row r="389" spans="1:22" ht="15" thickTop="1" thickBot="1" x14ac:dyDescent="0.3">
      <c r="A389" s="937"/>
      <c r="B389" s="938"/>
      <c r="C389" s="938"/>
      <c r="D389" s="938"/>
      <c r="E389" s="1624"/>
      <c r="F389" s="1624"/>
      <c r="G389" s="1624"/>
      <c r="H389" s="1639"/>
      <c r="I389" s="1639"/>
      <c r="J389" s="1624"/>
      <c r="K389" s="1643"/>
      <c r="L389" s="1643"/>
      <c r="M389" s="1634"/>
      <c r="N389" s="1644"/>
      <c r="O389" s="1624"/>
      <c r="P389" s="934"/>
      <c r="Q389" s="934"/>
      <c r="R389" s="939"/>
      <c r="S389" s="939"/>
      <c r="T389" s="939"/>
      <c r="U389" s="939"/>
      <c r="V389" s="939"/>
    </row>
    <row r="390" spans="1:22" ht="15" thickTop="1" thickBot="1" x14ac:dyDescent="0.3">
      <c r="A390" s="937"/>
      <c r="B390" s="938"/>
      <c r="C390" s="938" t="s">
        <v>790</v>
      </c>
      <c r="D390" s="938">
        <v>-1</v>
      </c>
      <c r="E390" s="1624">
        <v>1</v>
      </c>
      <c r="F390" s="1624">
        <v>1.8</v>
      </c>
      <c r="G390" s="1624"/>
      <c r="H390" s="1639">
        <v>1.8</v>
      </c>
      <c r="I390" s="1639">
        <f t="shared" si="87"/>
        <v>-3.24</v>
      </c>
      <c r="J390" s="1624"/>
      <c r="K390" s="1643"/>
      <c r="L390" s="1643"/>
      <c r="M390" s="1634"/>
      <c r="N390" s="1644"/>
      <c r="O390" s="1624"/>
      <c r="P390" s="934"/>
      <c r="Q390" s="934"/>
      <c r="R390" s="939"/>
      <c r="S390" s="939"/>
      <c r="T390" s="939"/>
      <c r="U390" s="939"/>
      <c r="V390" s="939"/>
    </row>
    <row r="391" spans="1:22" ht="15" thickTop="1" thickBot="1" x14ac:dyDescent="0.3">
      <c r="A391" s="937"/>
      <c r="B391" s="938"/>
      <c r="C391" s="938" t="s">
        <v>1874</v>
      </c>
      <c r="D391" s="938">
        <v>-1</v>
      </c>
      <c r="E391" s="1624">
        <v>1</v>
      </c>
      <c r="F391" s="1624">
        <v>1.8</v>
      </c>
      <c r="G391" s="1624"/>
      <c r="H391" s="1639">
        <v>3</v>
      </c>
      <c r="I391" s="1639">
        <f t="shared" si="87"/>
        <v>-5.4</v>
      </c>
      <c r="J391" s="1624"/>
      <c r="K391" s="1643"/>
      <c r="L391" s="1643"/>
      <c r="M391" s="1634"/>
      <c r="N391" s="1644"/>
      <c r="O391" s="1624"/>
      <c r="P391" s="934"/>
      <c r="Q391" s="934"/>
      <c r="R391" s="939"/>
      <c r="S391" s="939"/>
      <c r="T391" s="939"/>
      <c r="U391" s="939"/>
      <c r="V391" s="939"/>
    </row>
    <row r="392" spans="1:22" ht="15" thickTop="1" thickBot="1" x14ac:dyDescent="0.3">
      <c r="A392" s="937"/>
      <c r="B392" s="938"/>
      <c r="C392" s="938" t="s">
        <v>1872</v>
      </c>
      <c r="D392" s="938">
        <v>-1</v>
      </c>
      <c r="E392" s="1624">
        <v>1</v>
      </c>
      <c r="F392" s="1624">
        <v>3</v>
      </c>
      <c r="G392" s="1624"/>
      <c r="H392" s="1639">
        <v>3</v>
      </c>
      <c r="I392" s="1639">
        <f t="shared" si="87"/>
        <v>-9</v>
      </c>
      <c r="J392" s="1624"/>
      <c r="K392" s="1643"/>
      <c r="L392" s="1643"/>
      <c r="M392" s="1634"/>
      <c r="N392" s="1644"/>
      <c r="O392" s="1624"/>
      <c r="P392" s="934"/>
      <c r="Q392" s="934"/>
      <c r="R392" s="939"/>
      <c r="S392" s="939"/>
      <c r="T392" s="939"/>
      <c r="U392" s="939"/>
      <c r="V392" s="939"/>
    </row>
    <row r="393" spans="1:22" ht="15" thickTop="1" thickBot="1" x14ac:dyDescent="0.3">
      <c r="A393" s="937"/>
      <c r="B393" s="938"/>
      <c r="C393" s="938" t="s">
        <v>1875</v>
      </c>
      <c r="D393" s="938">
        <v>-1</v>
      </c>
      <c r="E393" s="1624">
        <v>1</v>
      </c>
      <c r="F393" s="1624">
        <v>2.1</v>
      </c>
      <c r="G393" s="1624"/>
      <c r="H393" s="1639">
        <v>3</v>
      </c>
      <c r="I393" s="1639">
        <f t="shared" si="87"/>
        <v>-6.3000000000000007</v>
      </c>
      <c r="J393" s="1624"/>
      <c r="K393" s="1643"/>
      <c r="L393" s="1643"/>
      <c r="M393" s="1634"/>
      <c r="N393" s="1644"/>
      <c r="O393" s="1624"/>
      <c r="P393" s="934"/>
      <c r="Q393" s="934"/>
      <c r="R393" s="939"/>
      <c r="S393" s="939"/>
      <c r="T393" s="939"/>
      <c r="U393" s="939"/>
      <c r="V393" s="939"/>
    </row>
    <row r="394" spans="1:22" ht="15" thickTop="1" thickBot="1" x14ac:dyDescent="0.3">
      <c r="A394" s="937"/>
      <c r="B394" s="938"/>
      <c r="C394" s="938" t="s">
        <v>1870</v>
      </c>
      <c r="D394" s="938">
        <v>-1</v>
      </c>
      <c r="E394" s="1624">
        <v>1</v>
      </c>
      <c r="F394" s="1624">
        <v>0.6</v>
      </c>
      <c r="G394" s="1624"/>
      <c r="H394" s="1639">
        <v>1.5</v>
      </c>
      <c r="I394" s="1639">
        <f t="shared" si="87"/>
        <v>-0.89999999999999991</v>
      </c>
      <c r="J394" s="1624"/>
      <c r="K394" s="1643"/>
      <c r="L394" s="1643"/>
      <c r="M394" s="1634"/>
      <c r="N394" s="1644"/>
      <c r="O394" s="1624"/>
      <c r="P394" s="934"/>
      <c r="Q394" s="934"/>
      <c r="R394" s="939"/>
      <c r="S394" s="939"/>
      <c r="T394" s="939"/>
      <c r="U394" s="939"/>
      <c r="V394" s="939"/>
    </row>
    <row r="395" spans="1:22" ht="15" thickTop="1" thickBot="1" x14ac:dyDescent="0.3">
      <c r="A395" s="937"/>
      <c r="B395" s="938"/>
      <c r="C395" s="938"/>
      <c r="D395" s="938"/>
      <c r="E395" s="1624"/>
      <c r="F395" s="1624"/>
      <c r="G395" s="1624"/>
      <c r="H395" s="1639"/>
      <c r="I395" s="1639"/>
      <c r="J395" s="1624"/>
      <c r="K395" s="1643"/>
      <c r="L395" s="1643"/>
      <c r="M395" s="1634"/>
      <c r="N395" s="1644"/>
      <c r="O395" s="1624"/>
      <c r="P395" s="934"/>
      <c r="Q395" s="934"/>
      <c r="R395" s="939"/>
      <c r="S395" s="939"/>
      <c r="T395" s="939"/>
      <c r="U395" s="939"/>
      <c r="V395" s="939"/>
    </row>
    <row r="396" spans="1:22" ht="15" thickTop="1" thickBot="1" x14ac:dyDescent="0.3">
      <c r="A396" s="937"/>
      <c r="B396" s="938"/>
      <c r="C396" s="938"/>
      <c r="D396" s="938"/>
      <c r="E396" s="1624"/>
      <c r="F396" s="1624"/>
      <c r="G396" s="1624"/>
      <c r="H396" s="1639"/>
      <c r="I396" s="1639"/>
      <c r="J396" s="1624"/>
      <c r="K396" s="1643"/>
      <c r="L396" s="1643"/>
      <c r="M396" s="1634"/>
      <c r="N396" s="1644"/>
      <c r="O396" s="1624"/>
      <c r="P396" s="934"/>
      <c r="Q396" s="934"/>
      <c r="R396" s="939"/>
      <c r="S396" s="939"/>
      <c r="T396" s="939"/>
      <c r="U396" s="939"/>
      <c r="V396" s="939"/>
    </row>
    <row r="397" spans="1:22" s="1650" customFormat="1" ht="15" thickTop="1" thickBot="1" x14ac:dyDescent="0.3">
      <c r="A397" s="1646" t="e">
        <f>masnry!#REF!</f>
        <v>#REF!</v>
      </c>
      <c r="B397" s="1647" t="e">
        <f>masnry!#REF!</f>
        <v>#REF!</v>
      </c>
      <c r="C397" s="1629"/>
      <c r="D397" s="1629">
        <v>1</v>
      </c>
      <c r="E397" s="1639">
        <v>1</v>
      </c>
      <c r="F397" s="1639">
        <v>3.1</v>
      </c>
      <c r="G397" s="1639"/>
      <c r="H397" s="1639">
        <v>3</v>
      </c>
      <c r="I397" s="1639">
        <f t="shared" ref="I397:I401" si="88">H397*E397*F397*D397</f>
        <v>9.3000000000000007</v>
      </c>
      <c r="J397" s="1639"/>
      <c r="K397" s="1640"/>
      <c r="L397" s="1640"/>
      <c r="M397" s="1641"/>
      <c r="N397" s="1642"/>
      <c r="O397" s="1639"/>
      <c r="P397" s="1648"/>
      <c r="Q397" s="1648"/>
      <c r="R397" s="1649"/>
      <c r="S397" s="1649"/>
      <c r="T397" s="1649"/>
      <c r="U397" s="1649"/>
      <c r="V397" s="1649"/>
    </row>
    <row r="398" spans="1:22" ht="15" thickTop="1" thickBot="1" x14ac:dyDescent="0.3">
      <c r="A398" s="937"/>
      <c r="B398" s="938"/>
      <c r="C398" s="938"/>
      <c r="D398" s="938">
        <v>1</v>
      </c>
      <c r="E398" s="1624">
        <v>1</v>
      </c>
      <c r="F398" s="1624">
        <v>1.61</v>
      </c>
      <c r="G398" s="1624"/>
      <c r="H398" s="1639">
        <v>3</v>
      </c>
      <c r="I398" s="1639">
        <f t="shared" si="88"/>
        <v>4.83</v>
      </c>
      <c r="J398" s="1624"/>
      <c r="K398" s="1643"/>
      <c r="L398" s="1643"/>
      <c r="M398" s="1634"/>
      <c r="N398" s="1644"/>
      <c r="O398" s="1624"/>
      <c r="P398" s="934"/>
      <c r="Q398" s="934"/>
      <c r="R398" s="939"/>
      <c r="S398" s="939"/>
      <c r="T398" s="939"/>
      <c r="U398" s="939"/>
      <c r="V398" s="939"/>
    </row>
    <row r="399" spans="1:22" ht="15" thickTop="1" thickBot="1" x14ac:dyDescent="0.3">
      <c r="A399" s="937"/>
      <c r="B399" s="938"/>
      <c r="C399" s="938" t="s">
        <v>700</v>
      </c>
      <c r="D399" s="938">
        <v>1</v>
      </c>
      <c r="E399" s="1624">
        <v>-1</v>
      </c>
      <c r="F399" s="1624">
        <v>0.8</v>
      </c>
      <c r="G399" s="1624"/>
      <c r="H399" s="1639">
        <v>3</v>
      </c>
      <c r="I399" s="1639">
        <f t="shared" si="88"/>
        <v>-2.4000000000000004</v>
      </c>
      <c r="J399" s="1624"/>
      <c r="K399" s="1643"/>
      <c r="L399" s="1643"/>
      <c r="M399" s="1634"/>
      <c r="N399" s="1644"/>
      <c r="O399" s="1624"/>
      <c r="P399" s="934"/>
      <c r="Q399" s="934"/>
      <c r="R399" s="939"/>
      <c r="S399" s="939"/>
      <c r="T399" s="939"/>
      <c r="U399" s="939"/>
      <c r="V399" s="939"/>
    </row>
    <row r="400" spans="1:22" ht="15" thickTop="1" thickBot="1" x14ac:dyDescent="0.3">
      <c r="A400" s="937"/>
      <c r="B400" s="938"/>
      <c r="C400" s="938"/>
      <c r="D400" s="938">
        <v>1</v>
      </c>
      <c r="E400" s="1624">
        <v>1</v>
      </c>
      <c r="F400" s="1624">
        <v>1.1299999999999999</v>
      </c>
      <c r="G400" s="1624"/>
      <c r="H400" s="1639">
        <v>3</v>
      </c>
      <c r="I400" s="1639">
        <f t="shared" si="88"/>
        <v>3.3899999999999997</v>
      </c>
      <c r="J400" s="1624"/>
      <c r="K400" s="1643"/>
      <c r="L400" s="1643"/>
      <c r="M400" s="1634"/>
      <c r="N400" s="1644"/>
      <c r="O400" s="1624"/>
      <c r="P400" s="934"/>
      <c r="Q400" s="934"/>
      <c r="R400" s="939"/>
      <c r="S400" s="939"/>
      <c r="T400" s="939"/>
      <c r="U400" s="939"/>
      <c r="V400" s="939"/>
    </row>
    <row r="401" spans="1:22" ht="15" thickTop="1" thickBot="1" x14ac:dyDescent="0.3">
      <c r="A401" s="937"/>
      <c r="B401" s="938"/>
      <c r="C401" s="938"/>
      <c r="D401" s="938">
        <v>1</v>
      </c>
      <c r="E401" s="1624">
        <v>1</v>
      </c>
      <c r="F401" s="1624">
        <v>2.7</v>
      </c>
      <c r="G401" s="1624"/>
      <c r="H401" s="1639">
        <v>3</v>
      </c>
      <c r="I401" s="1639">
        <f t="shared" si="88"/>
        <v>8.1000000000000014</v>
      </c>
      <c r="J401" s="1624"/>
      <c r="K401" s="1643"/>
      <c r="L401" s="1643"/>
      <c r="M401" s="1634"/>
      <c r="N401" s="1644"/>
      <c r="O401" s="1624"/>
      <c r="P401" s="934"/>
      <c r="Q401" s="934"/>
      <c r="R401" s="939"/>
      <c r="S401" s="939"/>
      <c r="T401" s="939"/>
      <c r="U401" s="939"/>
      <c r="V401" s="939"/>
    </row>
    <row r="402" spans="1:22" ht="15" thickTop="1" thickBot="1" x14ac:dyDescent="0.3">
      <c r="A402" s="937"/>
      <c r="B402" s="938"/>
      <c r="C402" s="938"/>
      <c r="D402" s="938"/>
      <c r="E402" s="1624"/>
      <c r="F402" s="1624"/>
      <c r="G402" s="1624"/>
      <c r="H402" s="1639"/>
      <c r="I402" s="1639"/>
      <c r="J402" s="1624">
        <f>SUM(I397:I402)</f>
        <v>23.220000000000002</v>
      </c>
      <c r="K402" s="1643">
        <f t="shared" ref="K402" si="89">$K$2</f>
        <v>1.05</v>
      </c>
      <c r="L402" s="1643">
        <f t="shared" ref="L402" si="90">K402*J402</f>
        <v>24.381000000000004</v>
      </c>
      <c r="M402" s="1634">
        <f t="shared" ref="M402" si="91">ROUND(L402,1)</f>
        <v>24.4</v>
      </c>
      <c r="N402" s="1644">
        <f t="shared" ref="N402" si="92">ROUNDUP(M402,0)</f>
        <v>25</v>
      </c>
      <c r="O402" s="1624" t="s">
        <v>692</v>
      </c>
      <c r="P402" s="934"/>
      <c r="Q402" s="934"/>
      <c r="R402" s="939"/>
      <c r="S402" s="939"/>
      <c r="T402" s="939"/>
      <c r="U402" s="939"/>
      <c r="V402" s="939"/>
    </row>
    <row r="403" spans="1:22" ht="15" thickTop="1" thickBot="1" x14ac:dyDescent="0.3">
      <c r="A403" s="937"/>
      <c r="B403" s="938"/>
      <c r="C403" s="938"/>
      <c r="D403" s="938"/>
      <c r="E403" s="1624"/>
      <c r="F403" s="1624"/>
      <c r="G403" s="1624"/>
      <c r="H403" s="1624"/>
      <c r="I403" s="1624"/>
      <c r="J403" s="1624"/>
      <c r="K403" s="1643"/>
      <c r="L403" s="1643"/>
      <c r="M403" s="1634"/>
      <c r="N403" s="1644"/>
      <c r="O403" s="1624"/>
      <c r="P403" s="934"/>
      <c r="Q403" s="934"/>
      <c r="R403" s="939"/>
      <c r="S403" s="939"/>
      <c r="T403" s="939"/>
      <c r="U403" s="939"/>
      <c r="V403" s="939"/>
    </row>
    <row r="404" spans="1:22" s="1650" customFormat="1" ht="15" thickTop="1" thickBot="1" x14ac:dyDescent="0.3">
      <c r="A404" s="1646" t="e">
        <f>masnry!#REF!</f>
        <v>#REF!</v>
      </c>
      <c r="B404" s="1647" t="e">
        <f>masnry!#REF!</f>
        <v>#REF!</v>
      </c>
      <c r="C404" s="1629"/>
      <c r="D404" s="938">
        <v>1</v>
      </c>
      <c r="E404" s="1629">
        <v>5</v>
      </c>
      <c r="F404" s="1639">
        <v>4.5999999999999996</v>
      </c>
      <c r="G404" s="1639"/>
      <c r="H404" s="1639">
        <v>3.45</v>
      </c>
      <c r="I404" s="1639">
        <f t="shared" ref="I404" si="93">H404*E404*F404*D404</f>
        <v>79.349999999999994</v>
      </c>
      <c r="J404" s="1639"/>
      <c r="K404" s="1640"/>
      <c r="L404" s="1640"/>
      <c r="M404" s="1641"/>
      <c r="N404" s="1642"/>
      <c r="O404" s="1639"/>
      <c r="P404" s="1648"/>
      <c r="Q404" s="1648"/>
      <c r="R404" s="1649"/>
      <c r="S404" s="1649"/>
      <c r="T404" s="1649"/>
      <c r="U404" s="1649"/>
      <c r="V404" s="1649"/>
    </row>
    <row r="405" spans="1:22" ht="15" thickTop="1" thickBot="1" x14ac:dyDescent="0.3">
      <c r="A405" s="937"/>
      <c r="B405" s="938"/>
      <c r="C405" s="938"/>
      <c r="D405" s="938">
        <v>1</v>
      </c>
      <c r="E405" s="938">
        <v>4</v>
      </c>
      <c r="F405" s="1624">
        <v>3.65</v>
      </c>
      <c r="G405" s="1624"/>
      <c r="H405" s="1639">
        <v>3.45</v>
      </c>
      <c r="I405" s="1639">
        <f t="shared" ref="I405:I421" si="94">H405*E405*F405*D405</f>
        <v>50.370000000000005</v>
      </c>
      <c r="J405" s="1624"/>
      <c r="K405" s="1643"/>
      <c r="L405" s="1643"/>
      <c r="M405" s="1634"/>
      <c r="N405" s="1644"/>
      <c r="O405" s="1624"/>
      <c r="P405" s="934"/>
      <c r="Q405" s="934"/>
      <c r="R405" s="939"/>
      <c r="S405" s="939"/>
      <c r="T405" s="939"/>
      <c r="U405" s="939"/>
      <c r="V405" s="939"/>
    </row>
    <row r="406" spans="1:22" ht="15" thickTop="1" thickBot="1" x14ac:dyDescent="0.3">
      <c r="A406" s="937"/>
      <c r="B406" s="938"/>
      <c r="C406" s="938"/>
      <c r="D406" s="938">
        <v>1</v>
      </c>
      <c r="E406" s="938">
        <v>5</v>
      </c>
      <c r="F406" s="1624">
        <v>4</v>
      </c>
      <c r="G406" s="1624"/>
      <c r="H406" s="1639">
        <v>3.45</v>
      </c>
      <c r="I406" s="1639">
        <f t="shared" si="94"/>
        <v>69</v>
      </c>
      <c r="J406" s="1624"/>
      <c r="K406" s="1643"/>
      <c r="L406" s="1643"/>
      <c r="M406" s="1634"/>
      <c r="N406" s="1644"/>
      <c r="O406" s="1624"/>
      <c r="P406" s="934"/>
      <c r="Q406" s="934"/>
      <c r="R406" s="939"/>
      <c r="S406" s="939"/>
      <c r="T406" s="939"/>
      <c r="U406" s="939"/>
      <c r="V406" s="939"/>
    </row>
    <row r="407" spans="1:22" ht="15" thickTop="1" thickBot="1" x14ac:dyDescent="0.3">
      <c r="A407" s="937"/>
      <c r="B407" s="938"/>
      <c r="C407" s="938"/>
      <c r="D407" s="938">
        <v>1</v>
      </c>
      <c r="E407" s="938">
        <v>4</v>
      </c>
      <c r="F407" s="1624">
        <v>4.25</v>
      </c>
      <c r="G407" s="1624"/>
      <c r="H407" s="1639">
        <v>3.45</v>
      </c>
      <c r="I407" s="1639">
        <f t="shared" si="94"/>
        <v>58.650000000000006</v>
      </c>
      <c r="J407" s="1624"/>
      <c r="K407" s="1643"/>
      <c r="L407" s="1643"/>
      <c r="M407" s="1634"/>
      <c r="N407" s="1644"/>
      <c r="O407" s="1624"/>
      <c r="P407" s="934"/>
      <c r="Q407" s="934"/>
      <c r="R407" s="939"/>
      <c r="S407" s="939"/>
      <c r="T407" s="939"/>
      <c r="U407" s="939"/>
      <c r="V407" s="939"/>
    </row>
    <row r="408" spans="1:22" ht="15" thickTop="1" thickBot="1" x14ac:dyDescent="0.3">
      <c r="A408" s="937"/>
      <c r="B408" s="938"/>
      <c r="C408" s="938"/>
      <c r="D408" s="938">
        <v>1</v>
      </c>
      <c r="E408" s="938">
        <v>3</v>
      </c>
      <c r="F408" s="1624">
        <v>3.26</v>
      </c>
      <c r="G408" s="1624"/>
      <c r="H408" s="1639">
        <v>3.45</v>
      </c>
      <c r="I408" s="1639">
        <f t="shared" si="94"/>
        <v>33.741</v>
      </c>
      <c r="J408" s="1624"/>
      <c r="K408" s="1643"/>
      <c r="L408" s="1643"/>
      <c r="M408" s="1634"/>
      <c r="N408" s="1644"/>
      <c r="O408" s="1624"/>
      <c r="P408" s="934"/>
      <c r="Q408" s="934"/>
      <c r="R408" s="939"/>
      <c r="S408" s="939"/>
      <c r="T408" s="939"/>
      <c r="U408" s="939"/>
      <c r="V408" s="939"/>
    </row>
    <row r="409" spans="1:22" ht="15" thickTop="1" thickBot="1" x14ac:dyDescent="0.3">
      <c r="A409" s="937"/>
      <c r="B409" s="938"/>
      <c r="C409" s="938"/>
      <c r="D409" s="938">
        <v>1</v>
      </c>
      <c r="E409" s="938">
        <v>4</v>
      </c>
      <c r="F409" s="1624">
        <v>3.25</v>
      </c>
      <c r="G409" s="1624"/>
      <c r="H409" s="1639">
        <v>3.45</v>
      </c>
      <c r="I409" s="1639">
        <f t="shared" si="94"/>
        <v>44.85</v>
      </c>
      <c r="J409" s="1624"/>
      <c r="K409" s="1643"/>
      <c r="L409" s="1643"/>
      <c r="M409" s="1634"/>
      <c r="N409" s="1644"/>
      <c r="O409" s="1624"/>
      <c r="P409" s="934"/>
      <c r="Q409" s="934"/>
      <c r="R409" s="939"/>
      <c r="S409" s="939"/>
      <c r="T409" s="939"/>
      <c r="U409" s="939"/>
      <c r="V409" s="939"/>
    </row>
    <row r="410" spans="1:22" ht="15" thickTop="1" thickBot="1" x14ac:dyDescent="0.3">
      <c r="A410" s="937"/>
      <c r="B410" s="938"/>
      <c r="C410" s="938"/>
      <c r="D410" s="938">
        <v>1</v>
      </c>
      <c r="E410" s="938">
        <v>4</v>
      </c>
      <c r="F410" s="1624">
        <v>0.89</v>
      </c>
      <c r="G410" s="1624"/>
      <c r="H410" s="1639">
        <v>3.45</v>
      </c>
      <c r="I410" s="1639">
        <f t="shared" si="94"/>
        <v>12.282</v>
      </c>
      <c r="J410" s="1624"/>
      <c r="K410" s="1643"/>
      <c r="L410" s="1643"/>
      <c r="M410" s="1634"/>
      <c r="N410" s="1644"/>
      <c r="O410" s="1624"/>
      <c r="P410" s="934"/>
      <c r="Q410" s="934"/>
      <c r="R410" s="939"/>
      <c r="S410" s="939"/>
      <c r="T410" s="939"/>
      <c r="U410" s="939"/>
      <c r="V410" s="939"/>
    </row>
    <row r="411" spans="1:22" ht="15" thickTop="1" thickBot="1" x14ac:dyDescent="0.3">
      <c r="A411" s="937"/>
      <c r="B411" s="938"/>
      <c r="C411" s="938" t="s">
        <v>1876</v>
      </c>
      <c r="D411" s="938">
        <v>1</v>
      </c>
      <c r="E411" s="1624">
        <v>-1</v>
      </c>
      <c r="F411" s="1624">
        <v>2.4</v>
      </c>
      <c r="G411" s="1624"/>
      <c r="H411" s="1624">
        <v>3</v>
      </c>
      <c r="I411" s="1639">
        <f t="shared" si="94"/>
        <v>-7.1999999999999993</v>
      </c>
      <c r="J411" s="1624"/>
      <c r="K411" s="1643"/>
      <c r="L411" s="1643"/>
      <c r="M411" s="1634"/>
      <c r="N411" s="1644"/>
      <c r="O411" s="1624"/>
      <c r="P411" s="934"/>
      <c r="Q411" s="934"/>
      <c r="R411" s="939"/>
      <c r="S411" s="939"/>
      <c r="T411" s="939"/>
      <c r="U411" s="939"/>
      <c r="V411" s="939"/>
    </row>
    <row r="412" spans="1:22" ht="15" thickTop="1" thickBot="1" x14ac:dyDescent="0.3">
      <c r="A412" s="937"/>
      <c r="B412" s="938"/>
      <c r="C412" s="938" t="s">
        <v>1870</v>
      </c>
      <c r="D412" s="938">
        <v>2</v>
      </c>
      <c r="E412" s="1624">
        <v>-1</v>
      </c>
      <c r="F412" s="1624">
        <v>0.6</v>
      </c>
      <c r="G412" s="1624"/>
      <c r="H412" s="1624">
        <v>1.5</v>
      </c>
      <c r="I412" s="1639">
        <f t="shared" si="94"/>
        <v>-1.7999999999999998</v>
      </c>
      <c r="J412" s="1624"/>
      <c r="K412" s="1643"/>
      <c r="L412" s="1643"/>
      <c r="M412" s="1634"/>
      <c r="N412" s="1644"/>
      <c r="O412" s="1624"/>
      <c r="P412" s="934"/>
      <c r="Q412" s="934"/>
      <c r="R412" s="939"/>
      <c r="S412" s="939"/>
      <c r="T412" s="939"/>
      <c r="U412" s="939"/>
      <c r="V412" s="939"/>
    </row>
    <row r="413" spans="1:22" ht="15" thickTop="1" thickBot="1" x14ac:dyDescent="0.3">
      <c r="A413" s="937"/>
      <c r="B413" s="938"/>
      <c r="C413" s="938" t="s">
        <v>1872</v>
      </c>
      <c r="D413" s="938">
        <v>1</v>
      </c>
      <c r="E413" s="1624">
        <v>-1</v>
      </c>
      <c r="F413" s="1624">
        <v>3</v>
      </c>
      <c r="G413" s="1624"/>
      <c r="H413" s="1639">
        <v>3</v>
      </c>
      <c r="I413" s="1639">
        <f t="shared" si="94"/>
        <v>-9</v>
      </c>
      <c r="J413" s="1624"/>
      <c r="K413" s="1643"/>
      <c r="L413" s="1643"/>
      <c r="M413" s="1634"/>
      <c r="N413" s="1644"/>
      <c r="O413" s="1624"/>
      <c r="P413" s="934"/>
      <c r="Q413" s="934"/>
      <c r="R413" s="939"/>
      <c r="S413" s="939"/>
      <c r="T413" s="939"/>
      <c r="U413" s="939"/>
      <c r="V413" s="939"/>
    </row>
    <row r="414" spans="1:22" ht="15" thickTop="1" thickBot="1" x14ac:dyDescent="0.3">
      <c r="A414" s="937"/>
      <c r="B414" s="938"/>
      <c r="C414" s="938" t="s">
        <v>1866</v>
      </c>
      <c r="D414" s="938">
        <v>2</v>
      </c>
      <c r="E414" s="1624">
        <v>-1</v>
      </c>
      <c r="F414" s="1624">
        <v>0.9</v>
      </c>
      <c r="G414" s="1624"/>
      <c r="H414" s="1639">
        <v>3</v>
      </c>
      <c r="I414" s="1639">
        <f t="shared" si="94"/>
        <v>-5.4</v>
      </c>
      <c r="J414" s="1624"/>
      <c r="K414" s="1643"/>
      <c r="L414" s="1643"/>
      <c r="M414" s="1634"/>
      <c r="N414" s="1644"/>
      <c r="O414" s="1624"/>
      <c r="P414" s="934"/>
      <c r="Q414" s="934"/>
      <c r="R414" s="939"/>
      <c r="S414" s="939"/>
      <c r="T414" s="939"/>
      <c r="U414" s="939"/>
      <c r="V414" s="939"/>
    </row>
    <row r="415" spans="1:22" ht="15" thickTop="1" thickBot="1" x14ac:dyDescent="0.3">
      <c r="A415" s="937"/>
      <c r="B415" s="938"/>
      <c r="C415" s="938" t="s">
        <v>700</v>
      </c>
      <c r="D415" s="938">
        <v>2</v>
      </c>
      <c r="E415" s="1624">
        <v>-1</v>
      </c>
      <c r="F415" s="1624">
        <v>0.8</v>
      </c>
      <c r="G415" s="1624"/>
      <c r="H415" s="1639">
        <v>3</v>
      </c>
      <c r="I415" s="1639">
        <f t="shared" si="94"/>
        <v>-4.8000000000000007</v>
      </c>
      <c r="J415" s="1624"/>
      <c r="K415" s="1643"/>
      <c r="L415" s="1643"/>
      <c r="M415" s="1634"/>
      <c r="N415" s="1644"/>
      <c r="O415" s="1624"/>
      <c r="P415" s="934"/>
      <c r="Q415" s="934"/>
      <c r="R415" s="939"/>
      <c r="S415" s="939"/>
      <c r="T415" s="939"/>
      <c r="U415" s="939"/>
      <c r="V415" s="939"/>
    </row>
    <row r="416" spans="1:22" ht="15" thickTop="1" thickBot="1" x14ac:dyDescent="0.3">
      <c r="A416" s="937"/>
      <c r="B416" s="938"/>
      <c r="C416" s="938" t="s">
        <v>1877</v>
      </c>
      <c r="D416" s="938">
        <v>1</v>
      </c>
      <c r="E416" s="1624">
        <v>-1</v>
      </c>
      <c r="F416" s="1624">
        <v>3.4</v>
      </c>
      <c r="G416" s="1624"/>
      <c r="H416" s="1624">
        <v>3</v>
      </c>
      <c r="I416" s="1639">
        <f t="shared" si="94"/>
        <v>-10.199999999999999</v>
      </c>
      <c r="J416" s="1624"/>
      <c r="K416" s="1643"/>
      <c r="L416" s="1643"/>
      <c r="M416" s="1634"/>
      <c r="N416" s="1644"/>
      <c r="O416" s="1624"/>
      <c r="P416" s="934"/>
      <c r="Q416" s="934"/>
      <c r="R416" s="939"/>
      <c r="S416" s="939"/>
      <c r="T416" s="939"/>
      <c r="U416" s="939"/>
      <c r="V416" s="939"/>
    </row>
    <row r="417" spans="1:22" ht="15" thickTop="1" thickBot="1" x14ac:dyDescent="0.3">
      <c r="A417" s="937"/>
      <c r="B417" s="938"/>
      <c r="C417" s="938" t="s">
        <v>1866</v>
      </c>
      <c r="D417" s="938">
        <v>2</v>
      </c>
      <c r="E417" s="1624">
        <v>-1</v>
      </c>
      <c r="F417" s="1624">
        <v>0.9</v>
      </c>
      <c r="G417" s="1624"/>
      <c r="H417" s="1639">
        <v>3</v>
      </c>
      <c r="I417" s="1639">
        <f t="shared" si="94"/>
        <v>-5.4</v>
      </c>
      <c r="J417" s="1624"/>
      <c r="K417" s="1643"/>
      <c r="L417" s="1643"/>
      <c r="M417" s="1634"/>
      <c r="N417" s="1644"/>
      <c r="O417" s="1624"/>
      <c r="P417" s="934"/>
      <c r="Q417" s="934"/>
      <c r="R417" s="939"/>
      <c r="S417" s="939"/>
      <c r="T417" s="939"/>
      <c r="U417" s="939"/>
      <c r="V417" s="939"/>
    </row>
    <row r="418" spans="1:22" ht="15" thickTop="1" thickBot="1" x14ac:dyDescent="0.3">
      <c r="A418" s="937"/>
      <c r="B418" s="938"/>
      <c r="C418" s="938" t="s">
        <v>700</v>
      </c>
      <c r="D418" s="938">
        <v>2</v>
      </c>
      <c r="E418" s="1624">
        <v>-1</v>
      </c>
      <c r="F418" s="1624">
        <v>0.8</v>
      </c>
      <c r="G418" s="1624"/>
      <c r="H418" s="1639">
        <v>3</v>
      </c>
      <c r="I418" s="1639">
        <f t="shared" si="94"/>
        <v>-4.8000000000000007</v>
      </c>
      <c r="J418" s="1624"/>
      <c r="K418" s="1643"/>
      <c r="L418" s="1643"/>
      <c r="M418" s="1634"/>
      <c r="N418" s="1644"/>
      <c r="O418" s="1624"/>
      <c r="P418" s="934"/>
      <c r="Q418" s="934"/>
      <c r="R418" s="939"/>
      <c r="S418" s="939"/>
      <c r="T418" s="939"/>
      <c r="U418" s="939"/>
      <c r="V418" s="939"/>
    </row>
    <row r="419" spans="1:22" ht="15" thickTop="1" thickBot="1" x14ac:dyDescent="0.3">
      <c r="A419" s="937"/>
      <c r="B419" s="938"/>
      <c r="C419" s="938" t="s">
        <v>1876</v>
      </c>
      <c r="D419" s="938">
        <v>1</v>
      </c>
      <c r="E419" s="1624">
        <v>-1</v>
      </c>
      <c r="F419" s="1624">
        <v>2.4</v>
      </c>
      <c r="G419" s="1624"/>
      <c r="H419" s="1624">
        <v>3</v>
      </c>
      <c r="I419" s="1639">
        <f t="shared" si="94"/>
        <v>-7.1999999999999993</v>
      </c>
      <c r="J419" s="1624"/>
      <c r="K419" s="1643"/>
      <c r="L419" s="1643"/>
      <c r="M419" s="1634"/>
      <c r="N419" s="1644"/>
      <c r="O419" s="1624"/>
      <c r="P419" s="934"/>
      <c r="Q419" s="934"/>
      <c r="R419" s="939"/>
      <c r="S419" s="939"/>
      <c r="T419" s="939"/>
      <c r="U419" s="939"/>
      <c r="V419" s="939"/>
    </row>
    <row r="420" spans="1:22" ht="15" thickTop="1" thickBot="1" x14ac:dyDescent="0.3">
      <c r="A420" s="937"/>
      <c r="B420" s="938"/>
      <c r="C420" s="938" t="s">
        <v>1878</v>
      </c>
      <c r="D420" s="938">
        <v>1</v>
      </c>
      <c r="E420" s="1624">
        <v>-1</v>
      </c>
      <c r="F420" s="1624">
        <v>3</v>
      </c>
      <c r="G420" s="1624"/>
      <c r="H420" s="1639">
        <v>3</v>
      </c>
      <c r="I420" s="1639">
        <f t="shared" si="94"/>
        <v>-9</v>
      </c>
      <c r="J420" s="1624"/>
      <c r="K420" s="1643"/>
      <c r="L420" s="1643"/>
      <c r="M420" s="1634"/>
      <c r="N420" s="1644"/>
      <c r="O420" s="1624"/>
      <c r="P420" s="934"/>
      <c r="Q420" s="934"/>
      <c r="R420" s="939"/>
      <c r="S420" s="939"/>
      <c r="T420" s="939"/>
      <c r="U420" s="939"/>
      <c r="V420" s="939"/>
    </row>
    <row r="421" spans="1:22" ht="15" thickTop="1" thickBot="1" x14ac:dyDescent="0.3">
      <c r="A421" s="937"/>
      <c r="B421" s="938"/>
      <c r="C421" s="938" t="s">
        <v>1870</v>
      </c>
      <c r="D421" s="938">
        <v>2</v>
      </c>
      <c r="E421" s="1624">
        <v>-1</v>
      </c>
      <c r="F421" s="1624">
        <v>0.6</v>
      </c>
      <c r="G421" s="1624"/>
      <c r="H421" s="1624">
        <v>1.5</v>
      </c>
      <c r="I421" s="1639">
        <f t="shared" si="94"/>
        <v>-1.7999999999999998</v>
      </c>
      <c r="J421" s="1624"/>
      <c r="K421" s="1643"/>
      <c r="L421" s="1643"/>
      <c r="M421" s="1634"/>
      <c r="N421" s="1644"/>
      <c r="O421" s="1624"/>
      <c r="P421" s="934"/>
      <c r="Q421" s="934"/>
      <c r="R421" s="939"/>
      <c r="S421" s="939"/>
      <c r="T421" s="939"/>
      <c r="U421" s="939"/>
      <c r="V421" s="939"/>
    </row>
    <row r="422" spans="1:22" ht="15" thickTop="1" thickBot="1" x14ac:dyDescent="0.3">
      <c r="A422" s="937"/>
      <c r="B422" s="938"/>
      <c r="C422" s="938"/>
      <c r="D422" s="938"/>
      <c r="E422" s="1624"/>
      <c r="F422" s="1624"/>
      <c r="G422" s="1624"/>
      <c r="H422" s="1639"/>
      <c r="I422" s="1639"/>
      <c r="J422" s="1624">
        <f>SUM(I404:I422)</f>
        <v>281.64300000000003</v>
      </c>
      <c r="K422" s="1643">
        <f t="shared" ref="K422" si="95">$K$2</f>
        <v>1.05</v>
      </c>
      <c r="L422" s="1643">
        <f t="shared" ref="L422" si="96">K422*J422</f>
        <v>295.72515000000004</v>
      </c>
      <c r="M422" s="1634">
        <f t="shared" ref="M422" si="97">ROUND(L422,1)</f>
        <v>295.7</v>
      </c>
      <c r="N422" s="1644">
        <f t="shared" ref="N422" si="98">ROUNDUP(M422,0)</f>
        <v>296</v>
      </c>
      <c r="O422" s="1624" t="s">
        <v>692</v>
      </c>
      <c r="P422" s="934"/>
      <c r="Q422" s="934"/>
      <c r="R422" s="939"/>
      <c r="S422" s="939"/>
      <c r="T422" s="939"/>
      <c r="U422" s="939"/>
      <c r="V422" s="939"/>
    </row>
    <row r="423" spans="1:22" ht="15" thickTop="1" thickBot="1" x14ac:dyDescent="0.3">
      <c r="A423" s="937"/>
      <c r="B423" s="938"/>
      <c r="C423" s="938"/>
      <c r="D423" s="938"/>
      <c r="E423" s="1624"/>
      <c r="F423" s="1624"/>
      <c r="G423" s="1624"/>
      <c r="H423" s="1624"/>
      <c r="I423" s="1624"/>
      <c r="J423" s="1624"/>
      <c r="K423" s="1643"/>
      <c r="L423" s="1643"/>
      <c r="M423" s="1634"/>
      <c r="N423" s="1644"/>
      <c r="O423" s="1624"/>
      <c r="P423" s="934"/>
      <c r="Q423" s="934"/>
      <c r="R423" s="939"/>
      <c r="S423" s="939"/>
      <c r="T423" s="939"/>
      <c r="U423" s="939"/>
      <c r="V423" s="939"/>
    </row>
    <row r="424" spans="1:22" s="1650" customFormat="1" ht="15" thickTop="1" thickBot="1" x14ac:dyDescent="0.3">
      <c r="A424" s="1646" t="e">
        <f>masnry!#REF!</f>
        <v>#REF!</v>
      </c>
      <c r="B424" s="1647" t="e">
        <f>masnry!#REF!</f>
        <v>#REF!</v>
      </c>
      <c r="C424" s="1629"/>
      <c r="D424" s="1629">
        <v>1</v>
      </c>
      <c r="E424" s="1639">
        <v>1</v>
      </c>
      <c r="F424" s="1639">
        <v>12.5</v>
      </c>
      <c r="G424" s="1639"/>
      <c r="H424" s="1639">
        <v>3</v>
      </c>
      <c r="I424" s="1639">
        <f t="shared" ref="I424:I435" si="99">H424*E424*F424*D424</f>
        <v>37.5</v>
      </c>
      <c r="J424" s="1639"/>
      <c r="K424" s="1640"/>
      <c r="L424" s="1640"/>
      <c r="M424" s="1641"/>
      <c r="N424" s="1642"/>
      <c r="O424" s="1639"/>
      <c r="P424" s="1648"/>
      <c r="Q424" s="1648"/>
      <c r="R424" s="1649"/>
      <c r="S424" s="1649"/>
      <c r="T424" s="1649"/>
      <c r="U424" s="1649"/>
      <c r="V424" s="1649"/>
    </row>
    <row r="425" spans="1:22" ht="15" thickTop="1" thickBot="1" x14ac:dyDescent="0.3">
      <c r="A425" s="937"/>
      <c r="B425" s="938"/>
      <c r="C425" s="938"/>
      <c r="D425" s="938">
        <v>1</v>
      </c>
      <c r="E425" s="1624">
        <v>3</v>
      </c>
      <c r="F425" s="1624">
        <v>4.3499999999999996</v>
      </c>
      <c r="G425" s="1624"/>
      <c r="H425" s="1639">
        <v>3</v>
      </c>
      <c r="I425" s="1639">
        <f t="shared" si="99"/>
        <v>39.15</v>
      </c>
      <c r="J425" s="1624"/>
      <c r="K425" s="1643"/>
      <c r="L425" s="1643"/>
      <c r="M425" s="1634"/>
      <c r="N425" s="1644"/>
      <c r="O425" s="1624"/>
      <c r="P425" s="934"/>
      <c r="Q425" s="934"/>
      <c r="R425" s="939"/>
      <c r="S425" s="939"/>
      <c r="T425" s="939"/>
      <c r="U425" s="939"/>
      <c r="V425" s="939"/>
    </row>
    <row r="426" spans="1:22" ht="15" thickTop="1" thickBot="1" x14ac:dyDescent="0.3">
      <c r="A426" s="937"/>
      <c r="B426" s="938"/>
      <c r="C426" s="938"/>
      <c r="D426" s="938">
        <v>1</v>
      </c>
      <c r="E426" s="1624">
        <v>1</v>
      </c>
      <c r="F426" s="1624">
        <v>7.36</v>
      </c>
      <c r="G426" s="1624"/>
      <c r="H426" s="1639">
        <v>3</v>
      </c>
      <c r="I426" s="1639">
        <f t="shared" ref="I426:I428" si="100">H426*E426*F426*D426</f>
        <v>22.080000000000002</v>
      </c>
      <c r="J426" s="1624"/>
      <c r="K426" s="1643"/>
      <c r="L426" s="1643"/>
      <c r="M426" s="1634"/>
      <c r="N426" s="1644"/>
      <c r="O426" s="1624"/>
      <c r="P426" s="934"/>
      <c r="Q426" s="934"/>
      <c r="R426" s="939"/>
      <c r="S426" s="939"/>
      <c r="T426" s="939"/>
      <c r="U426" s="939"/>
      <c r="V426" s="939"/>
    </row>
    <row r="427" spans="1:22" ht="15" thickTop="1" thickBot="1" x14ac:dyDescent="0.3">
      <c r="A427" s="937"/>
      <c r="B427" s="938"/>
      <c r="C427" s="938"/>
      <c r="D427" s="938">
        <v>1</v>
      </c>
      <c r="E427" s="1624">
        <v>1</v>
      </c>
      <c r="F427" s="1624">
        <v>4</v>
      </c>
      <c r="G427" s="1624"/>
      <c r="H427" s="1639">
        <f>H426</f>
        <v>3</v>
      </c>
      <c r="I427" s="1639">
        <f t="shared" si="100"/>
        <v>12</v>
      </c>
      <c r="J427" s="1624"/>
      <c r="K427" s="1643"/>
      <c r="L427" s="1643"/>
      <c r="M427" s="1634"/>
      <c r="N427" s="1644"/>
      <c r="O427" s="1624"/>
      <c r="P427" s="934"/>
      <c r="Q427" s="934"/>
      <c r="R427" s="939"/>
      <c r="S427" s="939"/>
      <c r="T427" s="939"/>
      <c r="U427" s="939"/>
      <c r="V427" s="939"/>
    </row>
    <row r="428" spans="1:22" ht="15" thickTop="1" thickBot="1" x14ac:dyDescent="0.3">
      <c r="A428" s="937"/>
      <c r="B428" s="938"/>
      <c r="C428" s="938"/>
      <c r="D428" s="938">
        <v>1</v>
      </c>
      <c r="E428" s="1624">
        <v>1</v>
      </c>
      <c r="F428" s="1624">
        <v>1.4</v>
      </c>
      <c r="G428" s="1624"/>
      <c r="H428" s="1639">
        <f>H427</f>
        <v>3</v>
      </c>
      <c r="I428" s="1639">
        <f t="shared" si="100"/>
        <v>4.1999999999999993</v>
      </c>
      <c r="J428" s="1624"/>
      <c r="K428" s="1643"/>
      <c r="L428" s="1643"/>
      <c r="M428" s="1634"/>
      <c r="N428" s="1644"/>
      <c r="O428" s="1624"/>
      <c r="P428" s="934"/>
      <c r="Q428" s="934"/>
      <c r="R428" s="939"/>
      <c r="S428" s="939"/>
      <c r="T428" s="939"/>
      <c r="U428" s="939"/>
      <c r="V428" s="939"/>
    </row>
    <row r="429" spans="1:22" ht="15" thickTop="1" thickBot="1" x14ac:dyDescent="0.3">
      <c r="A429" s="937"/>
      <c r="B429" s="938"/>
      <c r="C429" s="938" t="s">
        <v>1879</v>
      </c>
      <c r="D429" s="938">
        <v>2</v>
      </c>
      <c r="E429" s="1624">
        <v>-1</v>
      </c>
      <c r="F429" s="1624">
        <v>2</v>
      </c>
      <c r="G429" s="1624"/>
      <c r="H429" s="1624">
        <v>2.7</v>
      </c>
      <c r="I429" s="1639">
        <f t="shared" si="99"/>
        <v>-10.8</v>
      </c>
      <c r="J429" s="1624"/>
      <c r="K429" s="1643"/>
      <c r="L429" s="1643"/>
      <c r="M429" s="1634"/>
      <c r="N429" s="1644"/>
      <c r="O429" s="1624"/>
      <c r="P429" s="934"/>
      <c r="Q429" s="934"/>
      <c r="R429" s="939"/>
      <c r="S429" s="939"/>
      <c r="T429" s="939"/>
      <c r="U429" s="939"/>
      <c r="V429" s="939"/>
    </row>
    <row r="430" spans="1:22" ht="15" thickTop="1" thickBot="1" x14ac:dyDescent="0.3">
      <c r="A430" s="937"/>
      <c r="B430" s="938"/>
      <c r="C430" s="938" t="s">
        <v>1934</v>
      </c>
      <c r="D430" s="938">
        <v>1</v>
      </c>
      <c r="E430" s="1624">
        <v>-1</v>
      </c>
      <c r="F430" s="1624">
        <v>3.125</v>
      </c>
      <c r="G430" s="1624"/>
      <c r="H430" s="1624">
        <v>2.7</v>
      </c>
      <c r="I430" s="1639">
        <f t="shared" ref="I430" si="101">H430*E430*F430*D430</f>
        <v>-8.4375</v>
      </c>
      <c r="J430" s="1624"/>
      <c r="K430" s="1643"/>
      <c r="L430" s="1643"/>
      <c r="M430" s="1634"/>
      <c r="N430" s="1644"/>
      <c r="O430" s="1624"/>
      <c r="P430" s="934"/>
      <c r="Q430" s="934"/>
      <c r="R430" s="939"/>
      <c r="S430" s="939"/>
      <c r="T430" s="939"/>
      <c r="U430" s="939"/>
      <c r="V430" s="939"/>
    </row>
    <row r="431" spans="1:22" ht="15" thickTop="1" thickBot="1" x14ac:dyDescent="0.3">
      <c r="A431" s="937"/>
      <c r="B431" s="938"/>
      <c r="C431" s="938" t="s">
        <v>1869</v>
      </c>
      <c r="D431" s="938">
        <v>1</v>
      </c>
      <c r="E431" s="1624">
        <v>-1</v>
      </c>
      <c r="F431" s="1661">
        <v>0.9</v>
      </c>
      <c r="G431" s="1661"/>
      <c r="H431" s="1662">
        <v>2.7</v>
      </c>
      <c r="I431" s="1639">
        <f t="shared" si="99"/>
        <v>-2.4300000000000002</v>
      </c>
      <c r="J431" s="1624"/>
      <c r="K431" s="1643"/>
      <c r="L431" s="1643"/>
      <c r="M431" s="1634"/>
      <c r="N431" s="1644"/>
      <c r="O431" s="1624"/>
      <c r="P431" s="934"/>
      <c r="Q431" s="934"/>
      <c r="R431" s="939"/>
      <c r="S431" s="939"/>
      <c r="T431" s="939"/>
      <c r="U431" s="939"/>
      <c r="V431" s="939"/>
    </row>
    <row r="432" spans="1:22" ht="15" thickTop="1" thickBot="1" x14ac:dyDescent="0.3">
      <c r="A432" s="937"/>
      <c r="B432" s="938"/>
      <c r="C432" s="938" t="s">
        <v>1871</v>
      </c>
      <c r="D432" s="938">
        <v>1</v>
      </c>
      <c r="E432" s="1624">
        <v>-1</v>
      </c>
      <c r="F432" s="1624">
        <v>3.1</v>
      </c>
      <c r="G432" s="1624"/>
      <c r="H432" s="1624">
        <v>2.7</v>
      </c>
      <c r="I432" s="1639">
        <f t="shared" si="99"/>
        <v>-8.370000000000001</v>
      </c>
      <c r="J432" s="1624"/>
      <c r="K432" s="1643"/>
      <c r="L432" s="1643"/>
      <c r="M432" s="1634"/>
      <c r="N432" s="1644"/>
      <c r="O432" s="1624"/>
      <c r="P432" s="934"/>
      <c r="Q432" s="934"/>
      <c r="R432" s="939"/>
      <c r="S432" s="939"/>
      <c r="T432" s="939"/>
      <c r="U432" s="939"/>
      <c r="V432" s="939"/>
    </row>
    <row r="433" spans="1:22" ht="15" thickTop="1" thickBot="1" x14ac:dyDescent="0.3">
      <c r="A433" s="937"/>
      <c r="B433" s="938"/>
      <c r="C433" s="938" t="s">
        <v>1866</v>
      </c>
      <c r="D433" s="938">
        <v>2</v>
      </c>
      <c r="E433" s="1624">
        <v>-1</v>
      </c>
      <c r="F433" s="1661">
        <v>0.9</v>
      </c>
      <c r="G433" s="1661"/>
      <c r="H433" s="1662">
        <v>2.7</v>
      </c>
      <c r="I433" s="1639">
        <f t="shared" si="99"/>
        <v>-4.8600000000000003</v>
      </c>
      <c r="J433" s="1624"/>
      <c r="K433" s="1643"/>
      <c r="L433" s="1643"/>
      <c r="M433" s="1634"/>
      <c r="N433" s="1644"/>
      <c r="O433" s="1624"/>
      <c r="P433" s="934"/>
      <c r="Q433" s="934"/>
      <c r="R433" s="939"/>
      <c r="S433" s="939"/>
      <c r="T433" s="939"/>
      <c r="U433" s="939"/>
      <c r="V433" s="939"/>
    </row>
    <row r="434" spans="1:22" ht="15" thickTop="1" thickBot="1" x14ac:dyDescent="0.3">
      <c r="A434" s="937"/>
      <c r="B434" s="938"/>
      <c r="C434" s="938" t="s">
        <v>700</v>
      </c>
      <c r="D434" s="938">
        <v>1</v>
      </c>
      <c r="E434" s="1624">
        <v>-1</v>
      </c>
      <c r="F434" s="1661">
        <v>0.75</v>
      </c>
      <c r="G434" s="1661"/>
      <c r="H434" s="1662">
        <v>2.7</v>
      </c>
      <c r="I434" s="1639">
        <f t="shared" ref="I434" si="102">H434*E434*F434*D434</f>
        <v>-2.0250000000000004</v>
      </c>
      <c r="J434" s="1624"/>
      <c r="K434" s="1643"/>
      <c r="L434" s="1643"/>
      <c r="M434" s="1634"/>
      <c r="N434" s="1644"/>
      <c r="O434" s="1624"/>
      <c r="P434" s="934"/>
      <c r="Q434" s="934"/>
      <c r="R434" s="939"/>
      <c r="S434" s="939"/>
      <c r="T434" s="939"/>
      <c r="U434" s="939"/>
      <c r="V434" s="939"/>
    </row>
    <row r="435" spans="1:22" ht="15" thickTop="1" thickBot="1" x14ac:dyDescent="0.3">
      <c r="A435" s="937"/>
      <c r="B435" s="938"/>
      <c r="C435" s="938" t="s">
        <v>1870</v>
      </c>
      <c r="D435" s="938">
        <v>2</v>
      </c>
      <c r="E435" s="1624">
        <v>-1</v>
      </c>
      <c r="F435" s="1624">
        <v>0.6</v>
      </c>
      <c r="G435" s="1624"/>
      <c r="H435" s="1624">
        <v>1.5</v>
      </c>
      <c r="I435" s="1639">
        <f t="shared" si="99"/>
        <v>-1.7999999999999998</v>
      </c>
      <c r="J435" s="1624"/>
      <c r="K435" s="1643"/>
      <c r="L435" s="1643"/>
      <c r="M435" s="1634"/>
      <c r="N435" s="1644"/>
      <c r="O435" s="1624"/>
      <c r="P435" s="934"/>
      <c r="Q435" s="934"/>
      <c r="R435" s="939"/>
      <c r="S435" s="939"/>
      <c r="T435" s="939"/>
      <c r="U435" s="939"/>
      <c r="V435" s="939"/>
    </row>
    <row r="436" spans="1:22" ht="15" thickTop="1" thickBot="1" x14ac:dyDescent="0.3">
      <c r="A436" s="937"/>
      <c r="B436" s="938"/>
      <c r="C436" s="938"/>
      <c r="D436" s="938"/>
      <c r="E436" s="1624"/>
      <c r="F436" s="1624"/>
      <c r="G436" s="1624"/>
      <c r="H436" s="1624"/>
      <c r="I436" s="1639"/>
      <c r="J436" s="1624">
        <f>SUM(I424:I436)</f>
        <v>76.207499999999996</v>
      </c>
      <c r="K436" s="1643">
        <f t="shared" ref="K436" si="103">$K$2</f>
        <v>1.05</v>
      </c>
      <c r="L436" s="1643">
        <f t="shared" ref="L436" si="104">K436*J436</f>
        <v>80.017875000000004</v>
      </c>
      <c r="M436" s="1634">
        <f t="shared" ref="M436" si="105">ROUND(L436,1)</f>
        <v>80</v>
      </c>
      <c r="N436" s="1644">
        <f t="shared" ref="N436" si="106">ROUNDUP(M436,0)</f>
        <v>80</v>
      </c>
      <c r="O436" s="1624" t="s">
        <v>692</v>
      </c>
      <c r="P436" s="934"/>
      <c r="Q436" s="934"/>
      <c r="R436" s="939"/>
      <c r="S436" s="939"/>
      <c r="T436" s="939"/>
      <c r="U436" s="939"/>
      <c r="V436" s="939"/>
    </row>
    <row r="437" spans="1:22" ht="15" thickTop="1" thickBot="1" x14ac:dyDescent="0.3">
      <c r="A437" s="937"/>
      <c r="B437" s="938"/>
      <c r="C437" s="938"/>
      <c r="D437" s="938"/>
      <c r="E437" s="1624"/>
      <c r="F437" s="1624"/>
      <c r="G437" s="1624"/>
      <c r="H437" s="1624"/>
      <c r="I437" s="1624"/>
      <c r="J437" s="1624"/>
      <c r="K437" s="1643"/>
      <c r="L437" s="1643"/>
      <c r="M437" s="1634"/>
      <c r="N437" s="1644"/>
      <c r="O437" s="1624"/>
      <c r="P437" s="934"/>
      <c r="Q437" s="934"/>
      <c r="R437" s="939"/>
      <c r="S437" s="939"/>
      <c r="T437" s="939"/>
      <c r="U437" s="939"/>
      <c r="V437" s="939"/>
    </row>
    <row r="438" spans="1:22" ht="15" thickTop="1" thickBot="1" x14ac:dyDescent="0.3">
      <c r="A438" s="937" t="str">
        <f>masnry!A22</f>
        <v>H 01</v>
      </c>
      <c r="B438" s="1623" t="str">
        <f>masnry!B21</f>
        <v>H - RUBBLE MASONRY</v>
      </c>
      <c r="C438" s="938"/>
      <c r="D438" s="938"/>
      <c r="E438" s="1624"/>
      <c r="F438" s="1624"/>
      <c r="G438" s="1624"/>
      <c r="H438" s="1624"/>
      <c r="I438" s="1624"/>
      <c r="J438" s="1624"/>
      <c r="K438" s="1643"/>
      <c r="L438" s="1643"/>
      <c r="M438" s="1634"/>
      <c r="N438" s="1644"/>
      <c r="O438" s="1624"/>
      <c r="P438" s="934"/>
      <c r="Q438" s="934"/>
      <c r="R438" s="939"/>
      <c r="S438" s="939"/>
      <c r="T438" s="939"/>
      <c r="U438" s="939"/>
      <c r="V438" s="939"/>
    </row>
    <row r="439" spans="1:22" ht="15" thickTop="1" thickBot="1" x14ac:dyDescent="0.3">
      <c r="A439" s="937"/>
      <c r="B439" s="938"/>
      <c r="C439" s="938"/>
      <c r="D439" s="938"/>
      <c r="E439" s="1624"/>
      <c r="F439" s="1624"/>
      <c r="G439" s="1624"/>
      <c r="H439" s="1624"/>
      <c r="I439" s="1624"/>
      <c r="J439" s="1624"/>
      <c r="K439" s="1643"/>
      <c r="L439" s="1643"/>
      <c r="M439" s="1634"/>
      <c r="N439" s="1644"/>
      <c r="O439" s="1624"/>
      <c r="P439" s="934"/>
      <c r="Q439" s="934"/>
      <c r="R439" s="939"/>
      <c r="S439" s="939"/>
      <c r="T439" s="939"/>
      <c r="U439" s="939"/>
      <c r="V439" s="939"/>
    </row>
    <row r="440" spans="1:22" ht="15" thickTop="1" thickBot="1" x14ac:dyDescent="0.3">
      <c r="A440" s="937"/>
      <c r="B440" s="938"/>
      <c r="C440" s="938"/>
      <c r="D440" s="938"/>
      <c r="E440" s="1624"/>
      <c r="F440" s="1624"/>
      <c r="G440" s="1624"/>
      <c r="H440" s="1624"/>
      <c r="I440" s="1624"/>
      <c r="J440" s="1624"/>
      <c r="K440" s="1643"/>
      <c r="L440" s="1643"/>
      <c r="M440" s="1634"/>
      <c r="N440" s="1644"/>
      <c r="O440" s="1624"/>
      <c r="P440" s="934"/>
      <c r="Q440" s="934"/>
      <c r="R440" s="939"/>
      <c r="S440" s="939"/>
      <c r="T440" s="939"/>
      <c r="U440" s="939"/>
      <c r="V440" s="939"/>
    </row>
    <row r="441" spans="1:22" ht="15" thickTop="1" thickBot="1" x14ac:dyDescent="0.3">
      <c r="A441" s="937"/>
      <c r="B441" s="938"/>
      <c r="C441" s="938"/>
      <c r="D441" s="938"/>
      <c r="E441" s="1624"/>
      <c r="F441" s="1624"/>
      <c r="G441" s="1624"/>
      <c r="H441" s="1624"/>
      <c r="I441" s="1624"/>
      <c r="J441" s="1624"/>
      <c r="K441" s="1643"/>
      <c r="L441" s="1643"/>
      <c r="M441" s="1634"/>
      <c r="N441" s="1644"/>
      <c r="O441" s="1624"/>
      <c r="P441" s="934"/>
      <c r="Q441" s="934"/>
      <c r="R441" s="939"/>
      <c r="S441" s="939"/>
      <c r="T441" s="939"/>
      <c r="U441" s="939"/>
      <c r="V441" s="939"/>
    </row>
    <row r="442" spans="1:22" ht="15" thickTop="1" thickBot="1" x14ac:dyDescent="0.3">
      <c r="A442" s="937"/>
      <c r="B442" s="938"/>
      <c r="C442" s="938"/>
      <c r="D442" s="938"/>
      <c r="E442" s="1624"/>
      <c r="F442" s="1624"/>
      <c r="G442" s="1624"/>
      <c r="H442" s="1624"/>
      <c r="I442" s="1624"/>
      <c r="J442" s="1624"/>
      <c r="K442" s="1643"/>
      <c r="L442" s="1643"/>
      <c r="M442" s="1634"/>
      <c r="N442" s="1644"/>
      <c r="O442" s="1624"/>
      <c r="P442" s="934"/>
      <c r="Q442" s="934"/>
      <c r="R442" s="939"/>
      <c r="S442" s="939"/>
      <c r="T442" s="939"/>
      <c r="U442" s="939"/>
      <c r="V442" s="939"/>
    </row>
    <row r="443" spans="1:22" ht="15" thickTop="1" thickBot="1" x14ac:dyDescent="0.3">
      <c r="A443" s="937"/>
      <c r="B443" s="938"/>
      <c r="C443" s="938"/>
      <c r="D443" s="938"/>
      <c r="E443" s="1624"/>
      <c r="F443" s="1624"/>
      <c r="G443" s="1624"/>
      <c r="H443" s="1624"/>
      <c r="I443" s="1624"/>
      <c r="J443" s="1624"/>
      <c r="K443" s="1643"/>
      <c r="L443" s="1643"/>
      <c r="M443" s="1634"/>
      <c r="N443" s="1644"/>
      <c r="O443" s="1624"/>
      <c r="P443" s="934"/>
      <c r="Q443" s="934"/>
      <c r="R443" s="939"/>
      <c r="S443" s="939"/>
      <c r="T443" s="939"/>
      <c r="U443" s="939"/>
      <c r="V443" s="939"/>
    </row>
    <row r="444" spans="1:22" ht="15" thickTop="1" thickBot="1" x14ac:dyDescent="0.3">
      <c r="A444" s="937"/>
      <c r="B444" s="938"/>
      <c r="C444" s="938"/>
      <c r="D444" s="938"/>
      <c r="E444" s="1624"/>
      <c r="F444" s="1624"/>
      <c r="G444" s="1624"/>
      <c r="H444" s="1624"/>
      <c r="I444" s="1624"/>
      <c r="J444" s="1624"/>
      <c r="K444" s="1643"/>
      <c r="L444" s="1643"/>
      <c r="M444" s="1634"/>
      <c r="N444" s="1644"/>
      <c r="O444" s="1624"/>
      <c r="P444" s="934"/>
      <c r="Q444" s="934"/>
      <c r="R444" s="939"/>
      <c r="S444" s="939"/>
      <c r="T444" s="939"/>
      <c r="U444" s="939"/>
      <c r="V444" s="939"/>
    </row>
    <row r="445" spans="1:22" ht="15" thickTop="1" thickBot="1" x14ac:dyDescent="0.3">
      <c r="A445" s="937"/>
      <c r="B445" s="938"/>
      <c r="C445" s="938"/>
      <c r="D445" s="938"/>
      <c r="E445" s="1624"/>
      <c r="F445" s="1624"/>
      <c r="G445" s="1624"/>
      <c r="H445" s="1624"/>
      <c r="I445" s="1624"/>
      <c r="J445" s="1624"/>
      <c r="K445" s="1643"/>
      <c r="L445" s="1643"/>
      <c r="M445" s="1634"/>
      <c r="N445" s="1644"/>
      <c r="O445" s="1624"/>
      <c r="P445" s="934"/>
      <c r="Q445" s="934"/>
      <c r="R445" s="939"/>
      <c r="S445" s="939"/>
      <c r="T445" s="939"/>
      <c r="U445" s="939"/>
      <c r="V445" s="939"/>
    </row>
    <row r="446" spans="1:22" ht="15" thickTop="1" thickBot="1" x14ac:dyDescent="0.3">
      <c r="A446" s="937"/>
      <c r="B446" s="938"/>
      <c r="C446" s="938"/>
      <c r="D446" s="938"/>
      <c r="E446" s="1624"/>
      <c r="F446" s="1624"/>
      <c r="G446" s="1624"/>
      <c r="H446" s="1624"/>
      <c r="I446" s="1624"/>
      <c r="J446" s="1624"/>
      <c r="K446" s="1643"/>
      <c r="L446" s="1643"/>
      <c r="M446" s="1634"/>
      <c r="N446" s="1644"/>
      <c r="O446" s="1624"/>
      <c r="P446" s="934"/>
      <c r="Q446" s="934"/>
      <c r="R446" s="939"/>
      <c r="S446" s="939"/>
      <c r="T446" s="939"/>
      <c r="U446" s="939"/>
      <c r="V446" s="939"/>
    </row>
    <row r="447" spans="1:22" ht="15" thickTop="1" thickBot="1" x14ac:dyDescent="0.3">
      <c r="A447" s="937"/>
      <c r="B447" s="938"/>
      <c r="C447" s="938"/>
      <c r="D447" s="938"/>
      <c r="E447" s="1624"/>
      <c r="F447" s="1624"/>
      <c r="G447" s="1624"/>
      <c r="H447" s="1624"/>
      <c r="I447" s="1624"/>
      <c r="J447" s="1624"/>
      <c r="K447" s="1643"/>
      <c r="L447" s="1643"/>
      <c r="M447" s="1634"/>
      <c r="N447" s="1644"/>
      <c r="O447" s="1624"/>
      <c r="P447" s="934"/>
      <c r="Q447" s="934"/>
      <c r="R447" s="939"/>
      <c r="S447" s="939"/>
      <c r="T447" s="939"/>
      <c r="U447" s="939"/>
      <c r="V447" s="939"/>
    </row>
    <row r="448" spans="1:22" ht="15" thickTop="1" thickBot="1" x14ac:dyDescent="0.3">
      <c r="A448" s="937"/>
      <c r="B448" s="938"/>
      <c r="C448" s="938"/>
      <c r="D448" s="938"/>
      <c r="E448" s="1624"/>
      <c r="F448" s="1624"/>
      <c r="G448" s="1624"/>
      <c r="H448" s="1624"/>
      <c r="I448" s="1624"/>
      <c r="J448" s="1624"/>
      <c r="K448" s="1643"/>
      <c r="L448" s="1643"/>
      <c r="M448" s="1634"/>
      <c r="N448" s="1644"/>
      <c r="O448" s="1624"/>
      <c r="P448" s="934"/>
      <c r="Q448" s="934"/>
      <c r="R448" s="939"/>
      <c r="S448" s="939"/>
      <c r="T448" s="939"/>
      <c r="U448" s="939"/>
      <c r="V448" s="939"/>
    </row>
    <row r="449" spans="1:22" ht="15" thickTop="1" thickBot="1" x14ac:dyDescent="0.3">
      <c r="A449" s="937"/>
      <c r="B449" s="938"/>
      <c r="C449" s="938"/>
      <c r="D449" s="938"/>
      <c r="E449" s="1624"/>
      <c r="F449" s="1624"/>
      <c r="G449" s="1624"/>
      <c r="H449" s="1624"/>
      <c r="I449" s="1624"/>
      <c r="J449" s="1624"/>
      <c r="K449" s="1643"/>
      <c r="L449" s="1643"/>
      <c r="M449" s="1634"/>
      <c r="N449" s="1644"/>
      <c r="O449" s="1624"/>
      <c r="P449" s="934"/>
      <c r="Q449" s="934"/>
      <c r="R449" s="939"/>
      <c r="S449" s="939"/>
      <c r="T449" s="939"/>
      <c r="U449" s="939"/>
      <c r="V449" s="939"/>
    </row>
    <row r="450" spans="1:22" ht="15" thickTop="1" thickBot="1" x14ac:dyDescent="0.3">
      <c r="A450" s="937"/>
      <c r="B450" s="938"/>
      <c r="C450" s="938"/>
      <c r="D450" s="938"/>
      <c r="E450" s="1624"/>
      <c r="F450" s="1624"/>
      <c r="G450" s="1624"/>
      <c r="H450" s="1624"/>
      <c r="I450" s="1624"/>
      <c r="J450" s="1624"/>
      <c r="K450" s="1643"/>
      <c r="L450" s="1643"/>
      <c r="M450" s="1634"/>
      <c r="N450" s="1644"/>
      <c r="O450" s="1624"/>
      <c r="P450" s="934"/>
      <c r="Q450" s="934"/>
      <c r="R450" s="939"/>
      <c r="S450" s="939"/>
      <c r="T450" s="939"/>
      <c r="U450" s="939"/>
      <c r="V450" s="939"/>
    </row>
    <row r="451" spans="1:22" ht="15" thickTop="1" thickBot="1" x14ac:dyDescent="0.3">
      <c r="A451" s="937"/>
      <c r="B451" s="938"/>
      <c r="C451" s="938"/>
      <c r="D451" s="938"/>
      <c r="E451" s="1624"/>
      <c r="F451" s="1624"/>
      <c r="G451" s="1624"/>
      <c r="H451" s="1624"/>
      <c r="I451" s="1624"/>
      <c r="J451" s="1624"/>
      <c r="K451" s="1643"/>
      <c r="L451" s="1643"/>
      <c r="M451" s="1634"/>
      <c r="N451" s="1644"/>
      <c r="O451" s="1624"/>
      <c r="P451" s="934"/>
      <c r="Q451" s="934"/>
      <c r="R451" s="939"/>
      <c r="S451" s="939"/>
      <c r="T451" s="939"/>
      <c r="U451" s="939"/>
      <c r="V451" s="939"/>
    </row>
    <row r="452" spans="1:22" ht="15" thickTop="1" thickBot="1" x14ac:dyDescent="0.3">
      <c r="A452" s="937"/>
      <c r="B452" s="938"/>
      <c r="C452" s="938"/>
      <c r="D452" s="938"/>
      <c r="E452" s="1624"/>
      <c r="F452" s="1624"/>
      <c r="G452" s="1624"/>
      <c r="H452" s="1624"/>
      <c r="I452" s="1624"/>
      <c r="J452" s="1624"/>
      <c r="K452" s="1643"/>
      <c r="L452" s="1643"/>
      <c r="M452" s="1634"/>
      <c r="N452" s="1644"/>
      <c r="O452" s="1624"/>
      <c r="P452" s="934"/>
      <c r="Q452" s="934"/>
      <c r="R452" s="939"/>
      <c r="S452" s="939"/>
      <c r="T452" s="939"/>
      <c r="U452" s="939"/>
      <c r="V452" s="939"/>
    </row>
    <row r="453" spans="1:22" ht="15" thickTop="1" thickBot="1" x14ac:dyDescent="0.3">
      <c r="A453" s="937"/>
      <c r="B453" s="938"/>
      <c r="C453" s="938"/>
      <c r="D453" s="938"/>
      <c r="E453" s="1624"/>
      <c r="F453" s="1624"/>
      <c r="G453" s="1624"/>
      <c r="H453" s="1624"/>
      <c r="I453" s="1624"/>
      <c r="J453" s="1624"/>
      <c r="K453" s="1643"/>
      <c r="L453" s="1643"/>
      <c r="M453" s="1634"/>
      <c r="N453" s="1644"/>
      <c r="O453" s="1624"/>
      <c r="P453" s="934"/>
      <c r="Q453" s="934"/>
      <c r="R453" s="939"/>
      <c r="S453" s="939"/>
      <c r="T453" s="939"/>
      <c r="U453" s="939"/>
      <c r="V453" s="939"/>
    </row>
    <row r="454" spans="1:22" ht="15" thickTop="1" thickBot="1" x14ac:dyDescent="0.3">
      <c r="A454" s="937"/>
      <c r="B454" s="938"/>
      <c r="C454" s="938"/>
      <c r="D454" s="938"/>
      <c r="E454" s="1624"/>
      <c r="F454" s="1624"/>
      <c r="G454" s="1624"/>
      <c r="H454" s="1624"/>
      <c r="I454" s="1624"/>
      <c r="J454" s="1624"/>
      <c r="K454" s="1643"/>
      <c r="L454" s="1643"/>
      <c r="M454" s="1634"/>
      <c r="N454" s="1644"/>
      <c r="O454" s="1624"/>
      <c r="P454" s="934"/>
      <c r="Q454" s="934"/>
      <c r="R454" s="939"/>
      <c r="S454" s="939"/>
      <c r="T454" s="939"/>
      <c r="U454" s="939"/>
      <c r="V454" s="939"/>
    </row>
    <row r="455" spans="1:22" ht="15" thickTop="1" thickBot="1" x14ac:dyDescent="0.3">
      <c r="A455" s="937"/>
      <c r="B455" s="938"/>
      <c r="C455" s="938"/>
      <c r="D455" s="938"/>
      <c r="E455" s="1624"/>
      <c r="F455" s="1624"/>
      <c r="G455" s="1624"/>
      <c r="H455" s="1624"/>
      <c r="I455" s="1624"/>
      <c r="J455" s="1624"/>
      <c r="K455" s="1643"/>
      <c r="L455" s="1643"/>
      <c r="M455" s="1634"/>
      <c r="N455" s="1644"/>
      <c r="O455" s="1624"/>
      <c r="P455" s="934"/>
      <c r="Q455" s="934"/>
      <c r="R455" s="939"/>
      <c r="S455" s="939"/>
      <c r="T455" s="939"/>
      <c r="U455" s="939"/>
      <c r="V455" s="939"/>
    </row>
    <row r="456" spans="1:22" ht="15" thickTop="1" thickBot="1" x14ac:dyDescent="0.3">
      <c r="A456" s="937"/>
      <c r="B456" s="938"/>
      <c r="C456" s="938"/>
      <c r="D456" s="938"/>
      <c r="E456" s="1624"/>
      <c r="F456" s="1624"/>
      <c r="G456" s="1624"/>
      <c r="H456" s="1624"/>
      <c r="I456" s="1624"/>
      <c r="J456" s="1624"/>
      <c r="K456" s="1643"/>
      <c r="L456" s="1643"/>
      <c r="M456" s="1634"/>
      <c r="N456" s="1644"/>
      <c r="O456" s="1624"/>
      <c r="P456" s="934"/>
      <c r="Q456" s="934"/>
      <c r="R456" s="939"/>
      <c r="S456" s="939"/>
      <c r="T456" s="939"/>
      <c r="U456" s="939"/>
      <c r="V456" s="939"/>
    </row>
    <row r="457" spans="1:22" ht="15" thickTop="1" thickBot="1" x14ac:dyDescent="0.3">
      <c r="A457" s="937"/>
      <c r="B457" s="938"/>
      <c r="C457" s="938"/>
      <c r="D457" s="938"/>
      <c r="E457" s="1624"/>
      <c r="F457" s="1624"/>
      <c r="G457" s="1624"/>
      <c r="H457" s="1624"/>
      <c r="I457" s="1624"/>
      <c r="J457" s="1624"/>
      <c r="K457" s="1643"/>
      <c r="L457" s="1643"/>
      <c r="M457" s="1634"/>
      <c r="N457" s="1644"/>
      <c r="O457" s="1624"/>
      <c r="P457" s="934"/>
      <c r="Q457" s="934"/>
      <c r="R457" s="939"/>
      <c r="S457" s="939"/>
      <c r="T457" s="939"/>
      <c r="U457" s="939"/>
      <c r="V457" s="939"/>
    </row>
    <row r="458" spans="1:22" ht="15" thickTop="1" thickBot="1" x14ac:dyDescent="0.3">
      <c r="A458" s="937"/>
      <c r="B458" s="938"/>
      <c r="C458" s="938"/>
      <c r="D458" s="938"/>
      <c r="E458" s="1624"/>
      <c r="F458" s="1624"/>
      <c r="G458" s="1624"/>
      <c r="H458" s="1624"/>
      <c r="I458" s="1624"/>
      <c r="J458" s="1624"/>
      <c r="K458" s="1643"/>
      <c r="L458" s="1643"/>
      <c r="M458" s="1634"/>
      <c r="N458" s="1644"/>
      <c r="O458" s="1624"/>
      <c r="P458" s="934"/>
      <c r="Q458" s="934"/>
      <c r="R458" s="939"/>
      <c r="S458" s="939"/>
      <c r="T458" s="939"/>
      <c r="U458" s="939"/>
      <c r="V458" s="939"/>
    </row>
    <row r="459" spans="1:22" ht="15" thickTop="1" thickBot="1" x14ac:dyDescent="0.3">
      <c r="A459" s="937"/>
      <c r="B459" s="938"/>
      <c r="C459" s="938"/>
      <c r="D459" s="938"/>
      <c r="E459" s="1624"/>
      <c r="F459" s="1624"/>
      <c r="G459" s="1624"/>
      <c r="H459" s="1624"/>
      <c r="I459" s="1624"/>
      <c r="J459" s="1624"/>
      <c r="K459" s="1643"/>
      <c r="L459" s="1643"/>
      <c r="M459" s="1634"/>
      <c r="N459" s="1644"/>
      <c r="O459" s="1624"/>
      <c r="P459" s="934"/>
      <c r="Q459" s="934"/>
      <c r="R459" s="939"/>
      <c r="S459" s="939"/>
      <c r="T459" s="939"/>
      <c r="U459" s="939"/>
      <c r="V459" s="939"/>
    </row>
    <row r="460" spans="1:22" ht="15" thickTop="1" thickBot="1" x14ac:dyDescent="0.3">
      <c r="A460" s="937"/>
      <c r="B460" s="938"/>
      <c r="C460" s="938"/>
      <c r="D460" s="938"/>
      <c r="E460" s="1624"/>
      <c r="F460" s="1624"/>
      <c r="G460" s="1624"/>
      <c r="H460" s="1624"/>
      <c r="I460" s="1624"/>
      <c r="J460" s="1624"/>
      <c r="K460" s="1643"/>
      <c r="L460" s="1643"/>
      <c r="M460" s="1634"/>
      <c r="N460" s="1644"/>
      <c r="O460" s="1624"/>
      <c r="P460" s="934"/>
      <c r="Q460" s="934"/>
      <c r="R460" s="939"/>
      <c r="S460" s="939"/>
      <c r="T460" s="939"/>
      <c r="U460" s="939"/>
      <c r="V460" s="939"/>
    </row>
    <row r="461" spans="1:22" ht="15" thickTop="1" thickBot="1" x14ac:dyDescent="0.3">
      <c r="A461" s="937"/>
      <c r="B461" s="938"/>
      <c r="C461" s="938"/>
      <c r="D461" s="938"/>
      <c r="E461" s="1624"/>
      <c r="F461" s="1624"/>
      <c r="G461" s="1624"/>
      <c r="H461" s="1624"/>
      <c r="I461" s="1624"/>
      <c r="J461" s="1624"/>
      <c r="K461" s="1643"/>
      <c r="L461" s="1643"/>
      <c r="M461" s="1634"/>
      <c r="N461" s="1644"/>
      <c r="O461" s="1624"/>
      <c r="P461" s="934"/>
      <c r="Q461" s="934"/>
      <c r="R461" s="939"/>
      <c r="S461" s="939"/>
      <c r="T461" s="939"/>
      <c r="U461" s="939"/>
      <c r="V461" s="939"/>
    </row>
    <row r="462" spans="1:22" ht="15" thickTop="1" thickBot="1" x14ac:dyDescent="0.3">
      <c r="A462" s="937"/>
      <c r="B462" s="938"/>
      <c r="C462" s="938"/>
      <c r="D462" s="938"/>
      <c r="E462" s="1624"/>
      <c r="F462" s="1624"/>
      <c r="G462" s="1624"/>
      <c r="H462" s="1624"/>
      <c r="I462" s="1624"/>
      <c r="J462" s="1624"/>
      <c r="K462" s="1643"/>
      <c r="L462" s="1643"/>
      <c r="M462" s="1634"/>
      <c r="N462" s="1644"/>
      <c r="O462" s="1624"/>
      <c r="P462" s="934"/>
      <c r="Q462" s="934"/>
      <c r="R462" s="939"/>
      <c r="S462" s="939"/>
      <c r="T462" s="939"/>
      <c r="U462" s="939"/>
      <c r="V462" s="939"/>
    </row>
    <row r="463" spans="1:22" ht="15" thickTop="1" thickBot="1" x14ac:dyDescent="0.3">
      <c r="A463" s="937"/>
      <c r="B463" s="938"/>
      <c r="C463" s="938"/>
      <c r="D463" s="938"/>
      <c r="E463" s="1624"/>
      <c r="F463" s="1624"/>
      <c r="G463" s="1624"/>
      <c r="H463" s="1624"/>
      <c r="I463" s="1624"/>
      <c r="J463" s="1624"/>
      <c r="K463" s="1643"/>
      <c r="L463" s="1643"/>
      <c r="M463" s="1634"/>
      <c r="N463" s="1644"/>
      <c r="O463" s="1624"/>
      <c r="P463" s="934"/>
      <c r="Q463" s="934"/>
      <c r="R463" s="939"/>
      <c r="S463" s="939"/>
      <c r="T463" s="939"/>
      <c r="U463" s="939"/>
      <c r="V463" s="939"/>
    </row>
    <row r="464" spans="1:22" ht="15" thickTop="1" thickBot="1" x14ac:dyDescent="0.3">
      <c r="A464" s="937"/>
      <c r="B464" s="938"/>
      <c r="C464" s="938"/>
      <c r="D464" s="938"/>
      <c r="E464" s="1624"/>
      <c r="F464" s="1624"/>
      <c r="G464" s="1624"/>
      <c r="H464" s="1624"/>
      <c r="I464" s="1624"/>
      <c r="J464" s="1624"/>
      <c r="K464" s="1643"/>
      <c r="L464" s="1643"/>
      <c r="M464" s="1634"/>
      <c r="N464" s="1644"/>
      <c r="O464" s="1624"/>
      <c r="P464" s="934"/>
      <c r="Q464" s="934"/>
      <c r="R464" s="939"/>
      <c r="S464" s="939"/>
      <c r="T464" s="939"/>
      <c r="U464" s="939"/>
      <c r="V464" s="939"/>
    </row>
    <row r="465" spans="1:22" ht="15" thickTop="1" thickBot="1" x14ac:dyDescent="0.3">
      <c r="A465" s="937"/>
      <c r="B465" s="938"/>
      <c r="C465" s="938"/>
      <c r="D465" s="938"/>
      <c r="E465" s="1624"/>
      <c r="F465" s="1624"/>
      <c r="G465" s="1624"/>
      <c r="H465" s="1624"/>
      <c r="I465" s="1624"/>
      <c r="J465" s="1624">
        <f>SUM(I438:I465)</f>
        <v>0</v>
      </c>
      <c r="K465" s="1643">
        <f t="shared" ref="K465" si="107">$K$2</f>
        <v>1.05</v>
      </c>
      <c r="L465" s="1643">
        <f t="shared" ref="L465" si="108">K465*J465</f>
        <v>0</v>
      </c>
      <c r="M465" s="1634">
        <f t="shared" ref="M465" si="109">ROUND(L465,1)</f>
        <v>0</v>
      </c>
      <c r="N465" s="1644">
        <f t="shared" ref="N465" si="110">ROUNDUP(M465,0)</f>
        <v>0</v>
      </c>
      <c r="O465" s="1624" t="s">
        <v>692</v>
      </c>
      <c r="P465" s="934"/>
      <c r="Q465" s="934"/>
      <c r="R465" s="939"/>
      <c r="S465" s="939"/>
      <c r="T465" s="939"/>
      <c r="U465" s="939"/>
      <c r="V465" s="939"/>
    </row>
    <row r="466" spans="1:22" ht="15" thickTop="1" thickBot="1" x14ac:dyDescent="0.3">
      <c r="A466" s="937"/>
      <c r="B466" s="938"/>
      <c r="C466" s="938"/>
      <c r="D466" s="938"/>
      <c r="E466" s="1624"/>
      <c r="F466" s="1624"/>
      <c r="G466" s="1624"/>
      <c r="H466" s="1624"/>
      <c r="I466" s="1624"/>
      <c r="J466" s="1624"/>
      <c r="K466" s="1643"/>
      <c r="L466" s="1643"/>
      <c r="M466" s="1634"/>
      <c r="N466" s="1644"/>
      <c r="O466" s="1624"/>
      <c r="P466" s="934"/>
      <c r="Q466" s="934"/>
      <c r="R466" s="939"/>
      <c r="S466" s="939"/>
      <c r="T466" s="939"/>
      <c r="U466" s="939"/>
      <c r="V466" s="939"/>
    </row>
    <row r="467" spans="1:22" ht="15" thickTop="1" thickBot="1" x14ac:dyDescent="0.3">
      <c r="A467" s="937" t="str">
        <f>waterprof!A6</f>
        <v>R.1.1</v>
      </c>
      <c r="B467" s="1623" t="str">
        <f>waterprof!B6</f>
        <v>Ground Floor</v>
      </c>
      <c r="C467" s="938"/>
      <c r="D467" s="938"/>
      <c r="E467" s="1624"/>
      <c r="F467" s="1624">
        <f>3.98+4.86</f>
        <v>8.84</v>
      </c>
      <c r="G467" s="1624"/>
      <c r="H467" s="1624"/>
      <c r="I467" s="1624">
        <f>F467</f>
        <v>8.84</v>
      </c>
      <c r="J467" s="1624"/>
      <c r="K467" s="1643"/>
      <c r="L467" s="1643"/>
      <c r="M467" s="1634"/>
      <c r="N467" s="1644"/>
      <c r="O467" s="1624"/>
      <c r="P467" s="934"/>
      <c r="Q467" s="934"/>
      <c r="R467" s="939"/>
      <c r="S467" s="939"/>
      <c r="T467" s="939"/>
      <c r="U467" s="939"/>
      <c r="V467" s="939"/>
    </row>
    <row r="468" spans="1:22" ht="15" thickTop="1" thickBot="1" x14ac:dyDescent="0.3">
      <c r="A468" s="937"/>
      <c r="B468" s="938"/>
      <c r="C468" s="938"/>
      <c r="D468" s="938"/>
      <c r="E468" s="1624"/>
      <c r="F468" s="1624">
        <f>8.25+10.76</f>
        <v>19.009999999999998</v>
      </c>
      <c r="G468" s="1624"/>
      <c r="H468" s="1624">
        <v>1.5</v>
      </c>
      <c r="I468" s="1624">
        <f>H468*F468</f>
        <v>28.514999999999997</v>
      </c>
      <c r="J468" s="1624">
        <f>SUM(I467:I468)*3</f>
        <v>112.065</v>
      </c>
      <c r="K468" s="1643">
        <f t="shared" ref="K468:K471" si="111">$K$2</f>
        <v>1.05</v>
      </c>
      <c r="L468" s="1643">
        <f t="shared" ref="L468:L501" si="112">K468*J468</f>
        <v>117.66825</v>
      </c>
      <c r="M468" s="1634">
        <f t="shared" ref="M468:M501" si="113">ROUND(L468,1)</f>
        <v>117.7</v>
      </c>
      <c r="N468" s="1644">
        <f t="shared" ref="N468:N501" si="114">ROUNDUP(M468,0)</f>
        <v>118</v>
      </c>
      <c r="O468" s="1624" t="s">
        <v>692</v>
      </c>
      <c r="P468" s="934"/>
      <c r="Q468" s="934"/>
      <c r="R468" s="939"/>
      <c r="S468" s="939"/>
      <c r="T468" s="939"/>
      <c r="U468" s="939"/>
      <c r="V468" s="939"/>
    </row>
    <row r="469" spans="1:22" ht="15" thickTop="1" thickBot="1" x14ac:dyDescent="0.3">
      <c r="A469" s="937"/>
      <c r="B469" s="938"/>
      <c r="C469" s="938"/>
      <c r="D469" s="938"/>
      <c r="E469" s="1624"/>
      <c r="F469" s="1624"/>
      <c r="G469" s="1624"/>
      <c r="H469" s="1624"/>
      <c r="I469" s="1624"/>
      <c r="J469" s="1624"/>
      <c r="K469" s="1643"/>
      <c r="L469" s="1643"/>
      <c r="M469" s="1634"/>
      <c r="N469" s="1644"/>
      <c r="O469" s="1624"/>
      <c r="P469" s="934"/>
      <c r="Q469" s="934"/>
      <c r="R469" s="939"/>
      <c r="S469" s="939"/>
      <c r="T469" s="939"/>
      <c r="U469" s="939"/>
      <c r="V469" s="939"/>
    </row>
    <row r="470" spans="1:22" ht="15" thickTop="1" thickBot="1" x14ac:dyDescent="0.3">
      <c r="A470" s="937" t="str">
        <f>waterprof!A7</f>
        <v>R.1.2</v>
      </c>
      <c r="B470" s="1623" t="str">
        <f>waterprof!B7</f>
        <v>First Floor</v>
      </c>
      <c r="C470" s="938"/>
      <c r="D470" s="938"/>
      <c r="E470" s="1624"/>
      <c r="F470" s="1624">
        <f>(4.5*2)+(3.5*2)</f>
        <v>16</v>
      </c>
      <c r="G470" s="1624"/>
      <c r="H470" s="1624"/>
      <c r="I470" s="1624">
        <f>F470</f>
        <v>16</v>
      </c>
      <c r="J470" s="1624"/>
      <c r="K470" s="1643"/>
      <c r="L470" s="1643"/>
      <c r="M470" s="1634"/>
      <c r="N470" s="1644"/>
      <c r="O470" s="1624"/>
      <c r="P470" s="934"/>
      <c r="Q470" s="934"/>
      <c r="R470" s="939"/>
      <c r="S470" s="939"/>
      <c r="T470" s="939"/>
      <c r="U470" s="939"/>
      <c r="V470" s="939"/>
    </row>
    <row r="471" spans="1:22" ht="15" thickTop="1" thickBot="1" x14ac:dyDescent="0.3">
      <c r="A471" s="937"/>
      <c r="B471" s="938"/>
      <c r="C471" s="938"/>
      <c r="D471" s="938"/>
      <c r="E471" s="1624"/>
      <c r="F471" s="1624">
        <f>9.925+9.925+7.8+7.8</f>
        <v>35.450000000000003</v>
      </c>
      <c r="G471" s="1624"/>
      <c r="H471" s="1624">
        <v>1.5</v>
      </c>
      <c r="I471" s="1624">
        <f>H471*F471</f>
        <v>53.175000000000004</v>
      </c>
      <c r="J471" s="1624">
        <f>SUM(I470:I471)*2</f>
        <v>138.35000000000002</v>
      </c>
      <c r="K471" s="1643">
        <f t="shared" si="111"/>
        <v>1.05</v>
      </c>
      <c r="L471" s="1643">
        <f t="shared" ref="L471" si="115">K471*J471</f>
        <v>145.26750000000004</v>
      </c>
      <c r="M471" s="1634">
        <f t="shared" ref="M471" si="116">ROUND(L471,1)</f>
        <v>145.30000000000001</v>
      </c>
      <c r="N471" s="1644">
        <f t="shared" ref="N471" si="117">ROUNDUP(M471,0)</f>
        <v>146</v>
      </c>
      <c r="O471" s="1624" t="s">
        <v>692</v>
      </c>
      <c r="P471" s="934"/>
      <c r="Q471" s="934"/>
      <c r="R471" s="939"/>
      <c r="S471" s="939"/>
      <c r="T471" s="939"/>
      <c r="U471" s="939"/>
      <c r="V471" s="939"/>
    </row>
    <row r="472" spans="1:22" ht="15" thickTop="1" thickBot="1" x14ac:dyDescent="0.3">
      <c r="A472" s="937"/>
      <c r="B472" s="938"/>
      <c r="C472" s="938"/>
      <c r="D472" s="938"/>
      <c r="E472" s="1624"/>
      <c r="F472" s="1624"/>
      <c r="G472" s="1624"/>
      <c r="H472" s="1624"/>
      <c r="I472" s="1624"/>
      <c r="J472" s="1624"/>
      <c r="K472" s="1643"/>
      <c r="L472" s="1643"/>
      <c r="M472" s="1634"/>
      <c r="N472" s="1644"/>
      <c r="O472" s="1624"/>
      <c r="P472" s="934"/>
      <c r="Q472" s="934"/>
      <c r="R472" s="939"/>
      <c r="S472" s="939"/>
      <c r="T472" s="939"/>
      <c r="U472" s="939"/>
      <c r="V472" s="939"/>
    </row>
    <row r="473" spans="1:22" ht="15" thickTop="1" thickBot="1" x14ac:dyDescent="0.3">
      <c r="A473" s="937" t="str">
        <f>waterprof!A9</f>
        <v>E.1.4</v>
      </c>
      <c r="B473" s="1623" t="str">
        <f>waterprof!B9</f>
        <v>Terrace Floor</v>
      </c>
      <c r="C473" s="938"/>
      <c r="D473" s="938"/>
      <c r="E473" s="1624"/>
      <c r="F473" s="1624">
        <v>3.5</v>
      </c>
      <c r="G473" s="1624"/>
      <c r="H473" s="1624"/>
      <c r="I473" s="1624">
        <f>F473</f>
        <v>3.5</v>
      </c>
      <c r="J473" s="1624"/>
      <c r="K473" s="1643"/>
      <c r="L473" s="1643"/>
      <c r="M473" s="1634"/>
      <c r="N473" s="1644"/>
      <c r="O473" s="1624"/>
      <c r="P473" s="934"/>
      <c r="Q473" s="934"/>
      <c r="R473" s="939"/>
      <c r="S473" s="939"/>
      <c r="T473" s="939"/>
      <c r="U473" s="939"/>
      <c r="V473" s="939"/>
    </row>
    <row r="474" spans="1:22" ht="15" thickTop="1" thickBot="1" x14ac:dyDescent="0.3">
      <c r="A474" s="937"/>
      <c r="B474" s="938"/>
      <c r="C474" s="938"/>
      <c r="D474" s="938"/>
      <c r="E474" s="1624"/>
      <c r="F474" s="1624">
        <f>8.5</f>
        <v>8.5</v>
      </c>
      <c r="G474" s="1624"/>
      <c r="H474" s="1624">
        <v>1.5</v>
      </c>
      <c r="I474" s="1624">
        <f>H474*F474</f>
        <v>12.75</v>
      </c>
      <c r="J474" s="1624">
        <f>SUM(I473:I474)</f>
        <v>16.25</v>
      </c>
      <c r="K474" s="1643">
        <f t="shared" ref="K474" si="118">$K$2</f>
        <v>1.05</v>
      </c>
      <c r="L474" s="1643">
        <f t="shared" ref="L474" si="119">K474*J474</f>
        <v>17.0625</v>
      </c>
      <c r="M474" s="1634">
        <f t="shared" ref="M474" si="120">ROUND(L474,1)</f>
        <v>17.100000000000001</v>
      </c>
      <c r="N474" s="1644">
        <f t="shared" ref="N474" si="121">ROUNDUP(M474,0)</f>
        <v>18</v>
      </c>
      <c r="O474" s="1624" t="s">
        <v>692</v>
      </c>
      <c r="P474" s="934"/>
      <c r="Q474" s="934"/>
      <c r="R474" s="939"/>
      <c r="S474" s="939"/>
      <c r="T474" s="939"/>
      <c r="U474" s="939"/>
      <c r="V474" s="939"/>
    </row>
    <row r="475" spans="1:22" ht="15" thickTop="1" thickBot="1" x14ac:dyDescent="0.3">
      <c r="A475" s="937"/>
      <c r="B475" s="938"/>
      <c r="C475" s="938"/>
      <c r="D475" s="938"/>
      <c r="E475" s="1624"/>
      <c r="F475" s="1624"/>
      <c r="G475" s="1624"/>
      <c r="H475" s="1624"/>
      <c r="I475" s="1624"/>
      <c r="J475" s="1624"/>
      <c r="K475" s="1643"/>
      <c r="L475" s="1643"/>
      <c r="M475" s="1634"/>
      <c r="N475" s="1644"/>
      <c r="O475" s="1624"/>
      <c r="P475" s="934"/>
      <c r="Q475" s="934"/>
      <c r="R475" s="939"/>
      <c r="S475" s="939"/>
      <c r="T475" s="939"/>
      <c r="U475" s="939"/>
      <c r="V475" s="939"/>
    </row>
    <row r="476" spans="1:22" ht="15" thickTop="1" thickBot="1" x14ac:dyDescent="0.3">
      <c r="A476" s="937" t="str">
        <f>waterprof!A15</f>
        <v>R.2.1</v>
      </c>
      <c r="B476" s="1623" t="str">
        <f>B470</f>
        <v>First Floor</v>
      </c>
      <c r="C476" s="938"/>
      <c r="D476" s="938"/>
      <c r="E476" s="1624"/>
      <c r="F476" s="1624">
        <f>3.5+13.9+4.7+4.85</f>
        <v>26.949999999999996</v>
      </c>
      <c r="G476" s="1624"/>
      <c r="H476" s="1624"/>
      <c r="I476" s="1624">
        <f>F476</f>
        <v>26.949999999999996</v>
      </c>
      <c r="J476" s="1624"/>
      <c r="K476" s="1643"/>
      <c r="L476" s="1643"/>
      <c r="M476" s="1634"/>
      <c r="N476" s="1644"/>
      <c r="O476" s="1624"/>
      <c r="P476" s="934"/>
      <c r="Q476" s="934"/>
      <c r="R476" s="939"/>
      <c r="S476" s="939"/>
      <c r="T476" s="939"/>
      <c r="U476" s="939"/>
      <c r="V476" s="939"/>
    </row>
    <row r="477" spans="1:22" ht="15" thickTop="1" thickBot="1" x14ac:dyDescent="0.3">
      <c r="A477" s="937"/>
      <c r="B477" s="938"/>
      <c r="C477" s="938"/>
      <c r="D477" s="938"/>
      <c r="E477" s="1624"/>
      <c r="F477" s="1624"/>
      <c r="G477" s="1624"/>
      <c r="H477" s="1624"/>
      <c r="I477" s="1624"/>
      <c r="J477" s="1624">
        <f>SUM(I476:I477)</f>
        <v>26.949999999999996</v>
      </c>
      <c r="K477" s="1643">
        <f t="shared" ref="K477:K537" si="122">$K$2</f>
        <v>1.05</v>
      </c>
      <c r="L477" s="1643">
        <f t="shared" si="112"/>
        <v>28.297499999999996</v>
      </c>
      <c r="M477" s="1634">
        <f t="shared" si="113"/>
        <v>28.3</v>
      </c>
      <c r="N477" s="1644">
        <f t="shared" si="114"/>
        <v>29</v>
      </c>
      <c r="O477" s="1624" t="s">
        <v>692</v>
      </c>
      <c r="P477" s="934"/>
      <c r="Q477" s="934"/>
      <c r="R477" s="939"/>
      <c r="S477" s="939"/>
      <c r="T477" s="939"/>
      <c r="U477" s="939"/>
      <c r="V477" s="939"/>
    </row>
    <row r="478" spans="1:22" ht="15" thickTop="1" thickBot="1" x14ac:dyDescent="0.3">
      <c r="A478" s="937"/>
      <c r="B478" s="938"/>
      <c r="C478" s="938"/>
      <c r="D478" s="938"/>
      <c r="E478" s="1624"/>
      <c r="F478" s="1624"/>
      <c r="G478" s="1624"/>
      <c r="H478" s="1624"/>
      <c r="I478" s="1624"/>
      <c r="J478" s="1624"/>
      <c r="K478" s="1643"/>
      <c r="L478" s="1643"/>
      <c r="M478" s="1634"/>
      <c r="N478" s="1644"/>
      <c r="O478" s="1624"/>
      <c r="P478" s="934"/>
      <c r="Q478" s="934"/>
      <c r="R478" s="939"/>
      <c r="S478" s="939"/>
      <c r="T478" s="939"/>
      <c r="U478" s="939"/>
      <c r="V478" s="939"/>
    </row>
    <row r="479" spans="1:22" ht="15" thickTop="1" thickBot="1" x14ac:dyDescent="0.3">
      <c r="A479" s="937" t="str">
        <f>waterprof!A16</f>
        <v>R.2.2</v>
      </c>
      <c r="B479" s="1623" t="str">
        <f>B473</f>
        <v>Terrace Floor</v>
      </c>
      <c r="C479" s="938"/>
      <c r="D479" s="938"/>
      <c r="E479" s="1624"/>
      <c r="F479" s="1624">
        <v>89.8</v>
      </c>
      <c r="G479" s="1624"/>
      <c r="H479" s="1624"/>
      <c r="I479" s="1624">
        <f>F479</f>
        <v>89.8</v>
      </c>
      <c r="J479" s="1624"/>
      <c r="K479" s="1643"/>
      <c r="L479" s="1643"/>
      <c r="M479" s="1634"/>
      <c r="N479" s="1644"/>
      <c r="O479" s="1624"/>
      <c r="P479" s="934"/>
      <c r="Q479" s="934"/>
      <c r="R479" s="939"/>
      <c r="S479" s="939"/>
      <c r="T479" s="939"/>
      <c r="U479" s="939"/>
      <c r="V479" s="939"/>
    </row>
    <row r="480" spans="1:22" ht="15" thickTop="1" thickBot="1" x14ac:dyDescent="0.3">
      <c r="A480" s="937"/>
      <c r="B480" s="938"/>
      <c r="C480" s="938"/>
      <c r="D480" s="938"/>
      <c r="E480" s="1624"/>
      <c r="F480" s="1624"/>
      <c r="G480" s="1624"/>
      <c r="H480" s="1624"/>
      <c r="I480" s="1624"/>
      <c r="J480" s="1624">
        <f>SUM(I479:I480)</f>
        <v>89.8</v>
      </c>
      <c r="K480" s="1643">
        <f t="shared" si="122"/>
        <v>1.05</v>
      </c>
      <c r="L480" s="1643">
        <f t="shared" ref="L480" si="123">K480*J480</f>
        <v>94.29</v>
      </c>
      <c r="M480" s="1634">
        <f t="shared" ref="M480" si="124">ROUND(L480,1)</f>
        <v>94.3</v>
      </c>
      <c r="N480" s="1644">
        <f t="shared" ref="N480" si="125">ROUNDUP(M480,0)</f>
        <v>95</v>
      </c>
      <c r="O480" s="1624" t="s">
        <v>692</v>
      </c>
      <c r="P480" s="934"/>
      <c r="Q480" s="934"/>
      <c r="R480" s="939"/>
      <c r="S480" s="939"/>
      <c r="T480" s="939"/>
      <c r="U480" s="939"/>
      <c r="V480" s="939"/>
    </row>
    <row r="481" spans="1:22" ht="15" thickTop="1" thickBot="1" x14ac:dyDescent="0.3">
      <c r="A481" s="937"/>
      <c r="B481" s="938"/>
      <c r="C481" s="938"/>
      <c r="D481" s="938"/>
      <c r="E481" s="1624"/>
      <c r="F481" s="1624"/>
      <c r="G481" s="1624"/>
      <c r="H481" s="1624"/>
      <c r="I481" s="1624"/>
      <c r="J481" s="1624"/>
      <c r="K481" s="1643"/>
      <c r="L481" s="1643"/>
      <c r="M481" s="1634"/>
      <c r="N481" s="1644"/>
      <c r="O481" s="1624"/>
      <c r="P481" s="934"/>
      <c r="Q481" s="934"/>
      <c r="R481" s="939"/>
      <c r="S481" s="939"/>
      <c r="T481" s="939"/>
      <c r="U481" s="939"/>
      <c r="V481" s="939"/>
    </row>
    <row r="482" spans="1:22" ht="15" thickTop="1" thickBot="1" x14ac:dyDescent="0.3">
      <c r="A482" s="937" t="str">
        <f>plastering!A12</f>
        <v>K2.1</v>
      </c>
      <c r="B482" s="1623" t="str">
        <f>plastering!B12</f>
        <v>In Ground floor</v>
      </c>
      <c r="C482" s="938"/>
      <c r="D482" s="938"/>
      <c r="E482" s="1624">
        <v>1</v>
      </c>
      <c r="F482" s="1624">
        <v>132.5</v>
      </c>
      <c r="G482" s="1624"/>
      <c r="H482" s="1624">
        <v>3.3</v>
      </c>
      <c r="I482" s="1624">
        <f>H482*F482</f>
        <v>437.25</v>
      </c>
      <c r="J482" s="1624">
        <f>SUM(I482:I492)</f>
        <v>377.31000000000006</v>
      </c>
      <c r="K482" s="1643">
        <f t="shared" si="122"/>
        <v>1.05</v>
      </c>
      <c r="L482" s="1643">
        <f t="shared" si="112"/>
        <v>396.17550000000006</v>
      </c>
      <c r="M482" s="1634">
        <f t="shared" si="113"/>
        <v>396.2</v>
      </c>
      <c r="N482" s="1644">
        <f t="shared" si="114"/>
        <v>397</v>
      </c>
      <c r="O482" s="1624" t="s">
        <v>692</v>
      </c>
      <c r="P482" s="934"/>
      <c r="Q482" s="934"/>
      <c r="R482" s="939"/>
      <c r="S482" s="939"/>
      <c r="T482" s="939"/>
      <c r="U482" s="939"/>
      <c r="V482" s="939"/>
    </row>
    <row r="483" spans="1:22" ht="15" thickTop="1" thickBot="1" x14ac:dyDescent="0.3">
      <c r="A483" s="937"/>
      <c r="B483" s="1623"/>
      <c r="C483" s="938"/>
      <c r="D483" s="1624" t="s">
        <v>1870</v>
      </c>
      <c r="E483" s="1624">
        <v>-1</v>
      </c>
      <c r="F483" s="1624">
        <v>0.6</v>
      </c>
      <c r="G483" s="1624"/>
      <c r="H483" s="1624">
        <v>1.5</v>
      </c>
      <c r="I483" s="1624">
        <f>H483*F483*E483</f>
        <v>-0.89999999999999991</v>
      </c>
      <c r="J483" s="1624"/>
      <c r="K483" s="1643"/>
      <c r="L483" s="1643"/>
      <c r="M483" s="1634"/>
      <c r="N483" s="1644"/>
      <c r="O483" s="1624"/>
      <c r="P483" s="934"/>
      <c r="Q483" s="1620">
        <f>F483*2</f>
        <v>1.2</v>
      </c>
      <c r="R483" s="939">
        <f>H483*2</f>
        <v>3</v>
      </c>
      <c r="S483" s="939"/>
      <c r="T483" s="939"/>
      <c r="U483" s="939"/>
      <c r="V483" s="939"/>
    </row>
    <row r="484" spans="1:22" ht="15" thickTop="1" thickBot="1" x14ac:dyDescent="0.3">
      <c r="A484" s="937"/>
      <c r="B484" s="1623"/>
      <c r="C484" s="938"/>
      <c r="D484" s="1624" t="s">
        <v>1865</v>
      </c>
      <c r="E484" s="1624">
        <v>-1</v>
      </c>
      <c r="F484" s="1624">
        <v>1.5</v>
      </c>
      <c r="G484" s="1624"/>
      <c r="H484" s="1624">
        <v>3</v>
      </c>
      <c r="I484" s="1624">
        <f t="shared" ref="I484:I515" si="126">H484*F484*E484</f>
        <v>-4.5</v>
      </c>
      <c r="J484" s="1624"/>
      <c r="K484" s="1643"/>
      <c r="L484" s="1643"/>
      <c r="M484" s="1634"/>
      <c r="N484" s="1644"/>
      <c r="O484" s="1624"/>
      <c r="P484" s="934"/>
      <c r="Q484" s="1620">
        <f t="shared" ref="Q484:Q487" si="127">F484</f>
        <v>1.5</v>
      </c>
      <c r="R484" s="939">
        <f t="shared" ref="R484:R492" si="128">H484*2</f>
        <v>6</v>
      </c>
      <c r="S484" s="939"/>
      <c r="T484" s="939"/>
      <c r="U484" s="939"/>
      <c r="V484" s="939"/>
    </row>
    <row r="485" spans="1:22" ht="15" thickTop="1" thickBot="1" x14ac:dyDescent="0.3">
      <c r="A485" s="937"/>
      <c r="B485" s="1623"/>
      <c r="C485" s="938"/>
      <c r="D485" s="1624" t="s">
        <v>1872</v>
      </c>
      <c r="E485" s="1624">
        <v>-2</v>
      </c>
      <c r="F485" s="1624">
        <v>3</v>
      </c>
      <c r="G485" s="1624"/>
      <c r="H485" s="1624">
        <v>3</v>
      </c>
      <c r="I485" s="1624">
        <f t="shared" si="126"/>
        <v>-18</v>
      </c>
      <c r="J485" s="1624"/>
      <c r="K485" s="1643"/>
      <c r="L485" s="1643"/>
      <c r="M485" s="1634"/>
      <c r="N485" s="1644"/>
      <c r="O485" s="1624"/>
      <c r="P485" s="934"/>
      <c r="Q485" s="1620">
        <f>F485*2</f>
        <v>6</v>
      </c>
      <c r="R485" s="939">
        <f t="shared" si="128"/>
        <v>6</v>
      </c>
      <c r="S485" s="939"/>
      <c r="T485" s="939"/>
      <c r="U485" s="939"/>
      <c r="V485" s="939"/>
    </row>
    <row r="486" spans="1:22" ht="15" thickTop="1" thickBot="1" x14ac:dyDescent="0.3">
      <c r="A486" s="937"/>
      <c r="B486" s="1623"/>
      <c r="C486" s="938"/>
      <c r="D486" s="938" t="s">
        <v>1873</v>
      </c>
      <c r="E486" s="1624">
        <v>-1</v>
      </c>
      <c r="F486" s="1624">
        <v>3.1</v>
      </c>
      <c r="G486" s="1624"/>
      <c r="H486" s="1624">
        <v>3</v>
      </c>
      <c r="I486" s="1624">
        <f t="shared" si="126"/>
        <v>-9.3000000000000007</v>
      </c>
      <c r="J486" s="1624"/>
      <c r="K486" s="1643"/>
      <c r="L486" s="1643"/>
      <c r="M486" s="1634"/>
      <c r="N486" s="1644"/>
      <c r="O486" s="1624"/>
      <c r="P486" s="934"/>
      <c r="Q486" s="1620">
        <f>F486*2</f>
        <v>6.2</v>
      </c>
      <c r="R486" s="939">
        <f t="shared" si="128"/>
        <v>6</v>
      </c>
      <c r="S486" s="939"/>
      <c r="T486" s="939"/>
      <c r="U486" s="939"/>
      <c r="V486" s="939"/>
    </row>
    <row r="487" spans="1:22" ht="15" thickTop="1" thickBot="1" x14ac:dyDescent="0.3">
      <c r="A487" s="937"/>
      <c r="B487" s="1623"/>
      <c r="C487" s="938"/>
      <c r="D487" s="938" t="s">
        <v>1868</v>
      </c>
      <c r="E487" s="1624">
        <v>-1</v>
      </c>
      <c r="F487" s="1624">
        <v>0.8</v>
      </c>
      <c r="G487" s="1624"/>
      <c r="H487" s="1624">
        <v>3</v>
      </c>
      <c r="I487" s="1624">
        <f t="shared" si="126"/>
        <v>-2.4000000000000004</v>
      </c>
      <c r="J487" s="1624"/>
      <c r="K487" s="1643"/>
      <c r="L487" s="1643"/>
      <c r="M487" s="1634"/>
      <c r="N487" s="1644"/>
      <c r="O487" s="1624"/>
      <c r="P487" s="934"/>
      <c r="Q487" s="1620">
        <f t="shared" si="127"/>
        <v>0.8</v>
      </c>
      <c r="R487" s="939">
        <f t="shared" si="128"/>
        <v>6</v>
      </c>
      <c r="S487" s="939"/>
      <c r="T487" s="939"/>
      <c r="U487" s="939"/>
      <c r="V487" s="939"/>
    </row>
    <row r="488" spans="1:22" ht="15" thickTop="1" thickBot="1" x14ac:dyDescent="0.3">
      <c r="A488" s="937"/>
      <c r="B488" s="1623"/>
      <c r="C488" s="938"/>
      <c r="D488" s="938" t="s">
        <v>790</v>
      </c>
      <c r="E488" s="1624">
        <v>-1</v>
      </c>
      <c r="F488" s="1624">
        <v>1.8</v>
      </c>
      <c r="G488" s="1624"/>
      <c r="H488" s="1624">
        <v>1.8</v>
      </c>
      <c r="I488" s="1624">
        <f t="shared" si="126"/>
        <v>-3.24</v>
      </c>
      <c r="J488" s="1624"/>
      <c r="K488" s="1643"/>
      <c r="L488" s="1643"/>
      <c r="M488" s="1634"/>
      <c r="N488" s="1644"/>
      <c r="O488" s="1624"/>
      <c r="P488" s="934"/>
      <c r="Q488" s="1620">
        <f>F488*2</f>
        <v>3.6</v>
      </c>
      <c r="R488" s="939">
        <f t="shared" si="128"/>
        <v>3.6</v>
      </c>
      <c r="S488" s="939"/>
      <c r="T488" s="939"/>
      <c r="U488" s="939"/>
      <c r="V488" s="939"/>
    </row>
    <row r="489" spans="1:22" ht="15" thickTop="1" thickBot="1" x14ac:dyDescent="0.3">
      <c r="A489" s="937"/>
      <c r="B489" s="1623"/>
      <c r="C489" s="938"/>
      <c r="D489" s="938" t="s">
        <v>1872</v>
      </c>
      <c r="E489" s="1624">
        <v>-1</v>
      </c>
      <c r="F489" s="1624">
        <v>3</v>
      </c>
      <c r="G489" s="1624"/>
      <c r="H489" s="1624">
        <v>3</v>
      </c>
      <c r="I489" s="1624">
        <f t="shared" si="126"/>
        <v>-9</v>
      </c>
      <c r="J489" s="1624"/>
      <c r="K489" s="1643"/>
      <c r="L489" s="1643"/>
      <c r="M489" s="1634"/>
      <c r="N489" s="1644"/>
      <c r="O489" s="1624"/>
      <c r="P489" s="934"/>
      <c r="Q489" s="1620">
        <f>F489*2</f>
        <v>6</v>
      </c>
      <c r="R489" s="939">
        <f t="shared" si="128"/>
        <v>6</v>
      </c>
      <c r="S489" s="939"/>
      <c r="T489" s="939"/>
      <c r="U489" s="939"/>
      <c r="V489" s="939"/>
    </row>
    <row r="490" spans="1:22" ht="15" thickTop="1" thickBot="1" x14ac:dyDescent="0.3">
      <c r="A490" s="937"/>
      <c r="B490" s="1623"/>
      <c r="C490" s="938"/>
      <c r="D490" s="938" t="s">
        <v>1874</v>
      </c>
      <c r="E490" s="1624">
        <v>-1</v>
      </c>
      <c r="F490" s="1624">
        <v>1.8</v>
      </c>
      <c r="G490" s="1624"/>
      <c r="H490" s="1624">
        <v>3</v>
      </c>
      <c r="I490" s="1624">
        <f t="shared" si="126"/>
        <v>-5.4</v>
      </c>
      <c r="J490" s="1624"/>
      <c r="K490" s="1643"/>
      <c r="L490" s="1643"/>
      <c r="M490" s="1634"/>
      <c r="N490" s="1644"/>
      <c r="O490" s="1624"/>
      <c r="P490" s="934"/>
      <c r="Q490" s="1620">
        <f>F490*2</f>
        <v>3.6</v>
      </c>
      <c r="R490" s="939">
        <f t="shared" si="128"/>
        <v>6</v>
      </c>
      <c r="S490" s="939"/>
      <c r="T490" s="939"/>
      <c r="U490" s="939"/>
      <c r="V490" s="939"/>
    </row>
    <row r="491" spans="1:22" ht="15" thickTop="1" thickBot="1" x14ac:dyDescent="0.3">
      <c r="A491" s="937"/>
      <c r="B491" s="1623"/>
      <c r="C491" s="938"/>
      <c r="D491" s="938" t="s">
        <v>1875</v>
      </c>
      <c r="E491" s="1624">
        <v>-1</v>
      </c>
      <c r="F491" s="1624">
        <v>2.1</v>
      </c>
      <c r="G491" s="1624"/>
      <c r="H491" s="1624">
        <v>3</v>
      </c>
      <c r="I491" s="1624">
        <f t="shared" si="126"/>
        <v>-6.3000000000000007</v>
      </c>
      <c r="J491" s="1624"/>
      <c r="K491" s="1643"/>
      <c r="L491" s="1643"/>
      <c r="M491" s="1634"/>
      <c r="N491" s="1644"/>
      <c r="O491" s="1624"/>
      <c r="P491" s="934"/>
      <c r="Q491" s="1620">
        <f>F491*2</f>
        <v>4.2</v>
      </c>
      <c r="R491" s="939">
        <f t="shared" si="128"/>
        <v>6</v>
      </c>
      <c r="S491" s="939"/>
      <c r="T491" s="939"/>
      <c r="U491" s="939"/>
      <c r="V491" s="939"/>
    </row>
    <row r="492" spans="1:22" ht="15" thickTop="1" thickBot="1" x14ac:dyDescent="0.3">
      <c r="A492" s="937"/>
      <c r="B492" s="1623"/>
      <c r="C492" s="938"/>
      <c r="D492" s="938" t="s">
        <v>1870</v>
      </c>
      <c r="E492" s="1624">
        <v>-1</v>
      </c>
      <c r="F492" s="1624">
        <v>0.6</v>
      </c>
      <c r="G492" s="1624"/>
      <c r="H492" s="1624">
        <v>1.5</v>
      </c>
      <c r="I492" s="1624">
        <f t="shared" si="126"/>
        <v>-0.89999999999999991</v>
      </c>
      <c r="J492" s="1624"/>
      <c r="K492" s="1643"/>
      <c r="L492" s="1643"/>
      <c r="M492" s="1634"/>
      <c r="N492" s="1644"/>
      <c r="O492" s="1624"/>
      <c r="P492" s="934"/>
      <c r="Q492" s="1620">
        <f>F492*2</f>
        <v>1.2</v>
      </c>
      <c r="R492" s="939">
        <f t="shared" si="128"/>
        <v>3</v>
      </c>
      <c r="S492" s="939"/>
      <c r="T492" s="939"/>
      <c r="U492" s="939"/>
      <c r="V492" s="939"/>
    </row>
    <row r="493" spans="1:22" ht="15" thickTop="1" thickBot="1" x14ac:dyDescent="0.3">
      <c r="A493" s="937"/>
      <c r="B493" s="938"/>
      <c r="C493" s="938"/>
      <c r="D493" s="938"/>
      <c r="E493" s="1624"/>
      <c r="F493" s="1624"/>
      <c r="G493" s="1624"/>
      <c r="H493" s="1624"/>
      <c r="I493" s="1624"/>
      <c r="J493" s="1624"/>
      <c r="K493" s="1643"/>
      <c r="L493" s="1643"/>
      <c r="M493" s="1634"/>
      <c r="N493" s="1644"/>
      <c r="O493" s="1624"/>
      <c r="P493" s="934"/>
      <c r="Q493" s="1620">
        <f>SUM(Q483:Q492)</f>
        <v>34.300000000000004</v>
      </c>
      <c r="R493" s="939">
        <f>SUM(R483:R492)</f>
        <v>51.6</v>
      </c>
      <c r="S493" s="939">
        <f>R493+Q493</f>
        <v>85.9</v>
      </c>
      <c r="T493" s="939"/>
      <c r="U493" s="939"/>
      <c r="V493" s="939"/>
    </row>
    <row r="494" spans="1:22" ht="15" thickTop="1" thickBot="1" x14ac:dyDescent="0.3">
      <c r="A494" s="937" t="str">
        <f>plastering!A14</f>
        <v>K2.3</v>
      </c>
      <c r="B494" s="1623" t="str">
        <f>plastering!B14</f>
        <v>In Second Floor</v>
      </c>
      <c r="C494" s="938"/>
      <c r="D494" s="938"/>
      <c r="E494" s="1624">
        <v>1</v>
      </c>
      <c r="F494" s="1624">
        <v>66.5</v>
      </c>
      <c r="G494" s="1624"/>
      <c r="H494" s="1624">
        <v>3.45</v>
      </c>
      <c r="I494" s="1624">
        <f t="shared" si="126"/>
        <v>229.42500000000001</v>
      </c>
      <c r="J494" s="1624">
        <f>SUM(I494:I499)</f>
        <v>183.22500000000002</v>
      </c>
      <c r="K494" s="1643">
        <f t="shared" si="122"/>
        <v>1.05</v>
      </c>
      <c r="L494" s="1643">
        <f t="shared" ref="L494" si="129">K494*J494</f>
        <v>192.38625000000002</v>
      </c>
      <c r="M494" s="1634">
        <f t="shared" ref="M494" si="130">ROUND(L494,1)</f>
        <v>192.4</v>
      </c>
      <c r="N494" s="1644">
        <f t="shared" ref="N494" si="131">ROUNDUP(M494,0)</f>
        <v>193</v>
      </c>
      <c r="O494" s="1624" t="s">
        <v>692</v>
      </c>
      <c r="P494" s="934"/>
      <c r="Q494" s="934"/>
      <c r="R494" s="939"/>
      <c r="S494" s="939"/>
      <c r="T494" s="939"/>
      <c r="U494" s="939"/>
      <c r="V494" s="939"/>
    </row>
    <row r="495" spans="1:22" ht="15" thickTop="1" thickBot="1" x14ac:dyDescent="0.3">
      <c r="A495" s="937"/>
      <c r="B495" s="1623"/>
      <c r="C495" s="938"/>
      <c r="D495" s="938" t="s">
        <v>1872</v>
      </c>
      <c r="E495" s="1624">
        <v>-1</v>
      </c>
      <c r="F495" s="1624">
        <v>3</v>
      </c>
      <c r="G495" s="1624"/>
      <c r="H495" s="1624">
        <v>3</v>
      </c>
      <c r="I495" s="1624">
        <f t="shared" si="126"/>
        <v>-9</v>
      </c>
      <c r="J495" s="1624"/>
      <c r="K495" s="1643"/>
      <c r="L495" s="1643"/>
      <c r="M495" s="1634"/>
      <c r="N495" s="1644"/>
      <c r="O495" s="1624"/>
      <c r="P495" s="934"/>
      <c r="Q495" s="1620">
        <f>F495*2</f>
        <v>6</v>
      </c>
      <c r="R495" s="939">
        <f t="shared" ref="R495:R499" si="132">H495*2</f>
        <v>6</v>
      </c>
      <c r="S495" s="939"/>
      <c r="T495" s="939"/>
      <c r="U495" s="939"/>
      <c r="V495" s="939"/>
    </row>
    <row r="496" spans="1:22" ht="15" thickTop="1" thickBot="1" x14ac:dyDescent="0.3">
      <c r="A496" s="937"/>
      <c r="B496" s="1623"/>
      <c r="C496" s="938"/>
      <c r="D496" s="938" t="s">
        <v>1870</v>
      </c>
      <c r="E496" s="1624">
        <v>-4</v>
      </c>
      <c r="F496" s="1624">
        <v>0.6</v>
      </c>
      <c r="G496" s="1624"/>
      <c r="H496" s="1624">
        <v>1.5</v>
      </c>
      <c r="I496" s="1624">
        <f t="shared" si="126"/>
        <v>-3.5999999999999996</v>
      </c>
      <c r="J496" s="1624"/>
      <c r="K496" s="1643"/>
      <c r="L496" s="1643"/>
      <c r="M496" s="1634"/>
      <c r="N496" s="1644"/>
      <c r="O496" s="1624"/>
      <c r="P496" s="934"/>
      <c r="Q496" s="1620">
        <f t="shared" ref="Q496:Q499" si="133">F496*2</f>
        <v>1.2</v>
      </c>
      <c r="R496" s="939">
        <f t="shared" si="132"/>
        <v>3</v>
      </c>
      <c r="S496" s="939"/>
      <c r="T496" s="939"/>
      <c r="U496" s="939"/>
      <c r="V496" s="939"/>
    </row>
    <row r="497" spans="1:22" ht="15" thickTop="1" thickBot="1" x14ac:dyDescent="0.3">
      <c r="A497" s="937"/>
      <c r="B497" s="1623"/>
      <c r="C497" s="938"/>
      <c r="D497" s="938" t="s">
        <v>1876</v>
      </c>
      <c r="E497" s="1624">
        <v>-2</v>
      </c>
      <c r="F497" s="1624">
        <v>2.4</v>
      </c>
      <c r="G497" s="1624"/>
      <c r="H497" s="1624">
        <v>3</v>
      </c>
      <c r="I497" s="1624">
        <f t="shared" si="126"/>
        <v>-14.399999999999999</v>
      </c>
      <c r="J497" s="1624"/>
      <c r="K497" s="1643"/>
      <c r="L497" s="1643"/>
      <c r="M497" s="1634"/>
      <c r="N497" s="1644"/>
      <c r="O497" s="1624"/>
      <c r="P497" s="934"/>
      <c r="Q497" s="1620">
        <f t="shared" si="133"/>
        <v>4.8</v>
      </c>
      <c r="R497" s="939">
        <f t="shared" si="132"/>
        <v>6</v>
      </c>
      <c r="S497" s="939"/>
      <c r="T497" s="939"/>
      <c r="U497" s="939"/>
      <c r="V497" s="939"/>
    </row>
    <row r="498" spans="1:22" ht="15" thickTop="1" thickBot="1" x14ac:dyDescent="0.3">
      <c r="A498" s="937"/>
      <c r="B498" s="1623"/>
      <c r="C498" s="938"/>
      <c r="D498" s="938" t="s">
        <v>1877</v>
      </c>
      <c r="E498" s="1624">
        <v>-1</v>
      </c>
      <c r="F498" s="1624">
        <v>3.4</v>
      </c>
      <c r="G498" s="1624"/>
      <c r="H498" s="1624">
        <v>3</v>
      </c>
      <c r="I498" s="1624">
        <f t="shared" si="126"/>
        <v>-10.199999999999999</v>
      </c>
      <c r="J498" s="1624"/>
      <c r="K498" s="1643"/>
      <c r="L498" s="1643"/>
      <c r="M498" s="1634"/>
      <c r="N498" s="1644"/>
      <c r="O498" s="1624"/>
      <c r="P498" s="934"/>
      <c r="Q498" s="1620">
        <f t="shared" si="133"/>
        <v>6.8</v>
      </c>
      <c r="R498" s="939">
        <f t="shared" si="132"/>
        <v>6</v>
      </c>
      <c r="S498" s="939"/>
      <c r="T498" s="939"/>
      <c r="U498" s="939"/>
      <c r="V498" s="939"/>
    </row>
    <row r="499" spans="1:22" ht="15" thickTop="1" thickBot="1" x14ac:dyDescent="0.3">
      <c r="A499" s="937"/>
      <c r="B499" s="1623"/>
      <c r="C499" s="938"/>
      <c r="D499" s="938" t="s">
        <v>1878</v>
      </c>
      <c r="E499" s="1624">
        <v>-1</v>
      </c>
      <c r="F499" s="1624">
        <v>3</v>
      </c>
      <c r="G499" s="1624"/>
      <c r="H499" s="1624">
        <v>3</v>
      </c>
      <c r="I499" s="1624">
        <f t="shared" si="126"/>
        <v>-9</v>
      </c>
      <c r="J499" s="1624"/>
      <c r="K499" s="1643"/>
      <c r="L499" s="1643"/>
      <c r="M499" s="1634"/>
      <c r="N499" s="1644"/>
      <c r="O499" s="1624"/>
      <c r="P499" s="934"/>
      <c r="Q499" s="1620">
        <f t="shared" si="133"/>
        <v>6</v>
      </c>
      <c r="R499" s="939">
        <f t="shared" si="132"/>
        <v>6</v>
      </c>
      <c r="S499" s="939"/>
      <c r="T499" s="939"/>
      <c r="U499" s="939"/>
      <c r="V499" s="939"/>
    </row>
    <row r="500" spans="1:22" ht="15" thickTop="1" thickBot="1" x14ac:dyDescent="0.3">
      <c r="A500" s="937"/>
      <c r="B500" s="938"/>
      <c r="C500" s="938"/>
      <c r="D500" s="938"/>
      <c r="E500" s="1624"/>
      <c r="F500" s="1624"/>
      <c r="G500" s="1624"/>
      <c r="H500" s="1624"/>
      <c r="I500" s="1624"/>
      <c r="J500" s="1624"/>
      <c r="K500" s="1643"/>
      <c r="L500" s="1643"/>
      <c r="M500" s="1634"/>
      <c r="N500" s="1644"/>
      <c r="O500" s="1624"/>
      <c r="P500" s="934"/>
      <c r="Q500" s="1620">
        <f>SUM(Q495:Q499)</f>
        <v>24.8</v>
      </c>
      <c r="R500" s="939">
        <f>SUM(R495:R499)</f>
        <v>27</v>
      </c>
      <c r="S500" s="939">
        <f>R500+Q500</f>
        <v>51.8</v>
      </c>
      <c r="T500" s="939"/>
      <c r="U500" s="939"/>
      <c r="V500" s="939"/>
    </row>
    <row r="501" spans="1:22" ht="15" thickTop="1" thickBot="1" x14ac:dyDescent="0.3">
      <c r="A501" s="937" t="str">
        <f>plastering!A15</f>
        <v>K2.4</v>
      </c>
      <c r="B501" s="1623" t="str">
        <f>B479</f>
        <v>Terrace Floor</v>
      </c>
      <c r="C501" s="938"/>
      <c r="D501" s="938"/>
      <c r="E501" s="1624">
        <v>1</v>
      </c>
      <c r="F501" s="1624">
        <v>30</v>
      </c>
      <c r="G501" s="1624"/>
      <c r="H501" s="1624">
        <v>3.1</v>
      </c>
      <c r="I501" s="1624">
        <f t="shared" si="126"/>
        <v>93</v>
      </c>
      <c r="J501" s="1624">
        <f>SUM(I501:I506)</f>
        <v>78.239999999999995</v>
      </c>
      <c r="K501" s="1643">
        <f t="shared" si="122"/>
        <v>1.05</v>
      </c>
      <c r="L501" s="1643">
        <f t="shared" si="112"/>
        <v>82.152000000000001</v>
      </c>
      <c r="M501" s="1634">
        <f t="shared" si="113"/>
        <v>82.2</v>
      </c>
      <c r="N501" s="1644">
        <f t="shared" si="114"/>
        <v>83</v>
      </c>
      <c r="O501" s="1624" t="s">
        <v>692</v>
      </c>
      <c r="P501" s="934"/>
      <c r="Q501" s="934"/>
      <c r="R501" s="939"/>
      <c r="S501" s="939"/>
      <c r="T501" s="939"/>
      <c r="U501" s="939"/>
      <c r="V501" s="939"/>
    </row>
    <row r="502" spans="1:22" ht="15" thickTop="1" thickBot="1" x14ac:dyDescent="0.3">
      <c r="A502" s="937"/>
      <c r="B502" s="1623"/>
      <c r="C502" s="938"/>
      <c r="D502" s="938" t="s">
        <v>1869</v>
      </c>
      <c r="E502" s="1624">
        <v>-1</v>
      </c>
      <c r="F502" s="1624">
        <v>0.9</v>
      </c>
      <c r="G502" s="1624"/>
      <c r="H502" s="1624">
        <v>2.7</v>
      </c>
      <c r="I502" s="1624">
        <f t="shared" si="126"/>
        <v>-2.4300000000000002</v>
      </c>
      <c r="J502" s="1624"/>
      <c r="K502" s="1643"/>
      <c r="L502" s="1643"/>
      <c r="M502" s="1634"/>
      <c r="N502" s="1644"/>
      <c r="O502" s="1624"/>
      <c r="P502" s="934"/>
      <c r="Q502" s="1620">
        <f>F502</f>
        <v>0.9</v>
      </c>
      <c r="R502" s="939">
        <f t="shared" ref="R502:R506" si="134">H502*2</f>
        <v>5.4</v>
      </c>
      <c r="S502" s="939"/>
      <c r="T502" s="939"/>
      <c r="U502" s="939"/>
      <c r="V502" s="939"/>
    </row>
    <row r="503" spans="1:22" ht="15" thickTop="1" thickBot="1" x14ac:dyDescent="0.3">
      <c r="A503" s="937"/>
      <c r="B503" s="1623"/>
      <c r="C503" s="938"/>
      <c r="D503" s="938" t="s">
        <v>1880</v>
      </c>
      <c r="E503" s="1624">
        <v>-1</v>
      </c>
      <c r="F503" s="1624">
        <v>1.1000000000000001</v>
      </c>
      <c r="G503" s="1624"/>
      <c r="H503" s="1624">
        <v>2.7</v>
      </c>
      <c r="I503" s="1624">
        <f t="shared" si="126"/>
        <v>-2.9700000000000006</v>
      </c>
      <c r="J503" s="1624"/>
      <c r="K503" s="1643"/>
      <c r="L503" s="1643"/>
      <c r="M503" s="1634"/>
      <c r="N503" s="1644"/>
      <c r="O503" s="1624"/>
      <c r="P503" s="934"/>
      <c r="Q503" s="1620">
        <f>F503*2</f>
        <v>2.2000000000000002</v>
      </c>
      <c r="R503" s="939">
        <f t="shared" si="134"/>
        <v>5.4</v>
      </c>
      <c r="S503" s="939"/>
      <c r="T503" s="939"/>
      <c r="U503" s="939"/>
      <c r="V503" s="939"/>
    </row>
    <row r="504" spans="1:22" ht="15" thickTop="1" thickBot="1" x14ac:dyDescent="0.3">
      <c r="A504" s="937"/>
      <c r="B504" s="1623"/>
      <c r="C504" s="938"/>
      <c r="D504" s="938" t="s">
        <v>1866</v>
      </c>
      <c r="E504" s="1624">
        <v>-2</v>
      </c>
      <c r="F504" s="1624">
        <v>0.9</v>
      </c>
      <c r="G504" s="1624"/>
      <c r="H504" s="1624">
        <v>3</v>
      </c>
      <c r="I504" s="1624">
        <f t="shared" si="126"/>
        <v>-5.4</v>
      </c>
      <c r="J504" s="1624"/>
      <c r="K504" s="1643"/>
      <c r="L504" s="1643"/>
      <c r="M504" s="1634"/>
      <c r="N504" s="1644"/>
      <c r="O504" s="1624"/>
      <c r="P504" s="934"/>
      <c r="Q504" s="1620">
        <f>F504</f>
        <v>0.9</v>
      </c>
      <c r="R504" s="939">
        <f t="shared" si="134"/>
        <v>6</v>
      </c>
      <c r="S504" s="939"/>
      <c r="T504" s="939"/>
      <c r="U504" s="939"/>
      <c r="V504" s="939"/>
    </row>
    <row r="505" spans="1:22" ht="15" thickTop="1" thickBot="1" x14ac:dyDescent="0.3">
      <c r="A505" s="937"/>
      <c r="B505" s="1623"/>
      <c r="C505" s="938"/>
      <c r="D505" s="938" t="s">
        <v>700</v>
      </c>
      <c r="E505" s="1624">
        <v>-1</v>
      </c>
      <c r="F505" s="1624">
        <v>0.8</v>
      </c>
      <c r="G505" s="1624"/>
      <c r="H505" s="1624">
        <v>2.7</v>
      </c>
      <c r="I505" s="1624">
        <f t="shared" si="126"/>
        <v>-2.16</v>
      </c>
      <c r="J505" s="1624"/>
      <c r="K505" s="1643"/>
      <c r="L505" s="1643"/>
      <c r="M505" s="1634"/>
      <c r="N505" s="1644"/>
      <c r="O505" s="1624"/>
      <c r="P505" s="934"/>
      <c r="Q505" s="1620">
        <f>F505</f>
        <v>0.8</v>
      </c>
      <c r="R505" s="939">
        <f t="shared" si="134"/>
        <v>5.4</v>
      </c>
      <c r="S505" s="939"/>
      <c r="T505" s="939"/>
      <c r="U505" s="939"/>
      <c r="V505" s="939"/>
    </row>
    <row r="506" spans="1:22" ht="15" thickTop="1" thickBot="1" x14ac:dyDescent="0.3">
      <c r="A506" s="937"/>
      <c r="B506" s="1623"/>
      <c r="C506" s="938"/>
      <c r="D506" s="938" t="s">
        <v>1870</v>
      </c>
      <c r="E506" s="1624">
        <v>-2</v>
      </c>
      <c r="F506" s="1624">
        <v>0.6</v>
      </c>
      <c r="G506" s="1624"/>
      <c r="H506" s="1624">
        <v>1.5</v>
      </c>
      <c r="I506" s="1624">
        <f t="shared" si="126"/>
        <v>-1.7999999999999998</v>
      </c>
      <c r="J506" s="1624"/>
      <c r="K506" s="1643"/>
      <c r="L506" s="1643"/>
      <c r="M506" s="1634"/>
      <c r="N506" s="1644"/>
      <c r="O506" s="1624"/>
      <c r="P506" s="934"/>
      <c r="Q506" s="1620">
        <f>F506*2</f>
        <v>1.2</v>
      </c>
      <c r="R506" s="939">
        <f t="shared" si="134"/>
        <v>3</v>
      </c>
      <c r="S506" s="939"/>
      <c r="T506" s="939"/>
      <c r="U506" s="939"/>
      <c r="V506" s="939"/>
    </row>
    <row r="507" spans="1:22" ht="15" thickTop="1" thickBot="1" x14ac:dyDescent="0.3">
      <c r="A507" s="937"/>
      <c r="B507" s="1623"/>
      <c r="C507" s="938"/>
      <c r="D507" s="938"/>
      <c r="E507" s="1624"/>
      <c r="F507" s="1624"/>
      <c r="G507" s="1624"/>
      <c r="H507" s="1624"/>
      <c r="I507" s="1624"/>
      <c r="J507" s="1624"/>
      <c r="K507" s="1643"/>
      <c r="L507" s="1643"/>
      <c r="M507" s="1634"/>
      <c r="N507" s="1644"/>
      <c r="O507" s="1624"/>
      <c r="P507" s="934"/>
      <c r="Q507" s="1620"/>
      <c r="R507" s="939"/>
      <c r="S507" s="939"/>
      <c r="T507" s="939"/>
      <c r="U507" s="939"/>
      <c r="V507" s="939"/>
    </row>
    <row r="508" spans="1:22" ht="15" thickTop="1" thickBot="1" x14ac:dyDescent="0.3">
      <c r="A508" s="937" t="str">
        <f>plastering!A26</f>
        <v>K4.1</v>
      </c>
      <c r="B508" s="1623" t="str">
        <f>plastering!B26</f>
        <v>In Ground floor</v>
      </c>
      <c r="C508" s="938"/>
      <c r="D508" s="938"/>
      <c r="E508" s="1624">
        <v>1</v>
      </c>
      <c r="F508" s="1624">
        <v>95.6</v>
      </c>
      <c r="G508" s="1624"/>
      <c r="H508" s="1624">
        <f>H482</f>
        <v>3.3</v>
      </c>
      <c r="I508" s="1624">
        <f t="shared" si="126"/>
        <v>315.47999999999996</v>
      </c>
      <c r="J508" s="1624"/>
      <c r="K508" s="1643"/>
      <c r="L508" s="1643"/>
      <c r="M508" s="1634"/>
      <c r="N508" s="1644"/>
      <c r="O508" s="1624"/>
      <c r="P508" s="934"/>
      <c r="Q508" s="1620"/>
      <c r="R508" s="939"/>
      <c r="S508" s="939"/>
      <c r="T508" s="939"/>
      <c r="U508" s="939"/>
      <c r="V508" s="939"/>
    </row>
    <row r="509" spans="1:22" ht="15" thickTop="1" thickBot="1" x14ac:dyDescent="0.3">
      <c r="A509" s="937"/>
      <c r="B509" s="1623"/>
      <c r="C509" s="938"/>
      <c r="D509" s="938" t="s">
        <v>1865</v>
      </c>
      <c r="E509" s="1624">
        <v>-1</v>
      </c>
      <c r="F509" s="1624">
        <v>1.5</v>
      </c>
      <c r="G509" s="1624"/>
      <c r="H509" s="1624">
        <v>3</v>
      </c>
      <c r="I509" s="1624">
        <f t="shared" si="126"/>
        <v>-4.5</v>
      </c>
      <c r="J509" s="1624"/>
      <c r="K509" s="1643"/>
      <c r="L509" s="1643"/>
      <c r="M509" s="1634"/>
      <c r="N509" s="1644"/>
      <c r="O509" s="1624"/>
      <c r="P509" s="934"/>
      <c r="Q509" s="1620"/>
      <c r="R509" s="939"/>
      <c r="S509" s="939"/>
      <c r="T509" s="939"/>
      <c r="U509" s="939"/>
      <c r="V509" s="939"/>
    </row>
    <row r="510" spans="1:22" ht="15" thickTop="1" thickBot="1" x14ac:dyDescent="0.3">
      <c r="A510" s="937"/>
      <c r="B510" s="1623"/>
      <c r="C510" s="938"/>
      <c r="D510" s="938" t="s">
        <v>1870</v>
      </c>
      <c r="E510" s="1624">
        <v>-2</v>
      </c>
      <c r="F510" s="1624">
        <v>0.6</v>
      </c>
      <c r="G510" s="1624"/>
      <c r="H510" s="1624">
        <v>1.5</v>
      </c>
      <c r="I510" s="1624">
        <f t="shared" si="126"/>
        <v>-1.7999999999999998</v>
      </c>
      <c r="J510" s="1624"/>
      <c r="K510" s="1643"/>
      <c r="L510" s="1643"/>
      <c r="M510" s="1634"/>
      <c r="N510" s="1644"/>
      <c r="O510" s="1624"/>
      <c r="P510" s="934"/>
      <c r="Q510" s="1620"/>
      <c r="R510" s="939"/>
      <c r="S510" s="939"/>
      <c r="T510" s="939"/>
      <c r="U510" s="939"/>
      <c r="V510" s="939"/>
    </row>
    <row r="511" spans="1:22" ht="15" thickTop="1" thickBot="1" x14ac:dyDescent="0.3">
      <c r="A511" s="937"/>
      <c r="B511" s="1623"/>
      <c r="C511" s="938"/>
      <c r="D511" s="938" t="s">
        <v>1875</v>
      </c>
      <c r="E511" s="1624">
        <v>-1</v>
      </c>
      <c r="F511" s="1624">
        <v>2.1</v>
      </c>
      <c r="G511" s="1624"/>
      <c r="H511" s="1624">
        <v>3</v>
      </c>
      <c r="I511" s="1624">
        <f t="shared" si="126"/>
        <v>-6.3000000000000007</v>
      </c>
      <c r="J511" s="1624"/>
      <c r="K511" s="1643"/>
      <c r="L511" s="1643"/>
      <c r="M511" s="1634"/>
      <c r="N511" s="1644"/>
      <c r="O511" s="1624"/>
      <c r="P511" s="934"/>
      <c r="Q511" s="1620"/>
      <c r="R511" s="939"/>
      <c r="S511" s="939"/>
      <c r="T511" s="939"/>
      <c r="U511" s="939"/>
      <c r="V511" s="939"/>
    </row>
    <row r="512" spans="1:22" ht="15" thickTop="1" thickBot="1" x14ac:dyDescent="0.3">
      <c r="A512" s="937"/>
      <c r="B512" s="1623"/>
      <c r="C512" s="938"/>
      <c r="D512" s="938" t="s">
        <v>1872</v>
      </c>
      <c r="E512" s="1624">
        <v>-4</v>
      </c>
      <c r="F512" s="1624">
        <v>3</v>
      </c>
      <c r="G512" s="1624"/>
      <c r="H512" s="1624">
        <v>3</v>
      </c>
      <c r="I512" s="1624">
        <f t="shared" si="126"/>
        <v>-36</v>
      </c>
      <c r="J512" s="1624"/>
      <c r="K512" s="1643"/>
      <c r="L512" s="1643"/>
      <c r="M512" s="1634"/>
      <c r="N512" s="1644"/>
      <c r="O512" s="1624"/>
      <c r="P512" s="934"/>
      <c r="Q512" s="1620"/>
      <c r="R512" s="939"/>
      <c r="S512" s="939"/>
      <c r="T512" s="939"/>
      <c r="U512" s="939"/>
      <c r="V512" s="939"/>
    </row>
    <row r="513" spans="1:22" ht="15" thickTop="1" thickBot="1" x14ac:dyDescent="0.3">
      <c r="A513" s="937"/>
      <c r="B513" s="1623"/>
      <c r="C513" s="938"/>
      <c r="D513" s="938" t="s">
        <v>1874</v>
      </c>
      <c r="E513" s="1624">
        <v>-1</v>
      </c>
      <c r="F513" s="1624">
        <v>1.8</v>
      </c>
      <c r="G513" s="1624"/>
      <c r="H513" s="1624">
        <v>3</v>
      </c>
      <c r="I513" s="1624">
        <f t="shared" si="126"/>
        <v>-5.4</v>
      </c>
      <c r="J513" s="1624"/>
      <c r="K513" s="1643"/>
      <c r="L513" s="1643"/>
      <c r="M513" s="1634"/>
      <c r="N513" s="1644"/>
      <c r="O513" s="1624"/>
      <c r="P513" s="934"/>
      <c r="Q513" s="1620"/>
      <c r="R513" s="939"/>
      <c r="S513" s="939"/>
      <c r="T513" s="939"/>
      <c r="U513" s="939"/>
      <c r="V513" s="939"/>
    </row>
    <row r="514" spans="1:22" ht="15" thickTop="1" thickBot="1" x14ac:dyDescent="0.3">
      <c r="A514" s="937"/>
      <c r="B514" s="1623"/>
      <c r="C514" s="938"/>
      <c r="D514" s="938" t="s">
        <v>790</v>
      </c>
      <c r="E514" s="1624">
        <v>-1</v>
      </c>
      <c r="F514" s="1624">
        <v>1.8</v>
      </c>
      <c r="G514" s="1624"/>
      <c r="H514" s="1624">
        <v>1.8</v>
      </c>
      <c r="I514" s="1624">
        <f t="shared" si="126"/>
        <v>-3.24</v>
      </c>
      <c r="J514" s="1624"/>
      <c r="K514" s="1643"/>
      <c r="L514" s="1643"/>
      <c r="M514" s="1634"/>
      <c r="N514" s="1644"/>
      <c r="O514" s="1624"/>
      <c r="P514" s="934"/>
      <c r="Q514" s="1620"/>
      <c r="R514" s="939"/>
      <c r="S514" s="939"/>
      <c r="T514" s="939"/>
      <c r="U514" s="939"/>
      <c r="V514" s="939"/>
    </row>
    <row r="515" spans="1:22" ht="15" thickTop="1" thickBot="1" x14ac:dyDescent="0.3">
      <c r="A515" s="937"/>
      <c r="B515" s="1623"/>
      <c r="C515" s="938"/>
      <c r="D515" s="938" t="s">
        <v>1873</v>
      </c>
      <c r="E515" s="1624">
        <v>-1</v>
      </c>
      <c r="F515" s="1624">
        <v>3.1</v>
      </c>
      <c r="G515" s="1624"/>
      <c r="H515" s="1624">
        <v>3</v>
      </c>
      <c r="I515" s="1624">
        <f t="shared" si="126"/>
        <v>-9.3000000000000007</v>
      </c>
      <c r="J515" s="1624">
        <f>SUM(I508:I515)</f>
        <v>248.93999999999994</v>
      </c>
      <c r="K515" s="1643">
        <f t="shared" si="122"/>
        <v>1.05</v>
      </c>
      <c r="L515" s="1643">
        <f t="shared" ref="L515" si="135">K515*J515</f>
        <v>261.38699999999994</v>
      </c>
      <c r="M515" s="1634">
        <f t="shared" ref="M515" si="136">ROUND(L515,1)</f>
        <v>261.39999999999998</v>
      </c>
      <c r="N515" s="1644">
        <f t="shared" ref="N515" si="137">ROUNDUP(M515,0)</f>
        <v>262</v>
      </c>
      <c r="O515" s="1624" t="s">
        <v>692</v>
      </c>
      <c r="P515" s="934"/>
      <c r="Q515" s="1620"/>
      <c r="R515" s="939"/>
      <c r="S515" s="939"/>
      <c r="T515" s="939"/>
      <c r="U515" s="939"/>
      <c r="V515" s="939"/>
    </row>
    <row r="516" spans="1:22" ht="15" thickTop="1" thickBot="1" x14ac:dyDescent="0.3">
      <c r="A516" s="937"/>
      <c r="B516" s="1623"/>
      <c r="C516" s="938"/>
      <c r="D516" s="938"/>
      <c r="E516" s="1624"/>
      <c r="F516" s="1624"/>
      <c r="G516" s="1624"/>
      <c r="H516" s="1624"/>
      <c r="I516" s="1624"/>
      <c r="J516" s="1624"/>
      <c r="K516" s="1643"/>
      <c r="L516" s="1643"/>
      <c r="M516" s="1634"/>
      <c r="N516" s="1644"/>
      <c r="O516" s="1624"/>
      <c r="P516" s="934"/>
      <c r="Q516" s="1620"/>
      <c r="R516" s="939"/>
      <c r="S516" s="939"/>
      <c r="T516" s="939"/>
      <c r="U516" s="939"/>
      <c r="V516" s="939"/>
    </row>
    <row r="517" spans="1:22" ht="15" thickTop="1" thickBot="1" x14ac:dyDescent="0.3">
      <c r="A517" s="937"/>
      <c r="B517" s="938"/>
      <c r="C517" s="938"/>
      <c r="D517" s="938"/>
      <c r="E517" s="1624"/>
      <c r="F517" s="1624"/>
      <c r="G517" s="1624"/>
      <c r="H517" s="1624"/>
      <c r="I517" s="1624"/>
      <c r="J517" s="1624"/>
      <c r="K517" s="1643"/>
      <c r="L517" s="1643"/>
      <c r="M517" s="1634"/>
      <c r="N517" s="1644"/>
      <c r="O517" s="1624"/>
      <c r="P517" s="934"/>
      <c r="Q517" s="1620">
        <f>SUM(Q502:Q506)</f>
        <v>6</v>
      </c>
      <c r="R517" s="939">
        <f>SUM(R502:R506)</f>
        <v>25.200000000000003</v>
      </c>
      <c r="S517" s="939">
        <f>SUM(Q517:R517)</f>
        <v>31.200000000000003</v>
      </c>
      <c r="T517" s="939"/>
      <c r="U517" s="939"/>
      <c r="V517" s="939"/>
    </row>
    <row r="518" spans="1:22" ht="15" thickTop="1" thickBot="1" x14ac:dyDescent="0.3">
      <c r="A518" s="937" t="str">
        <f>plastering!A27</f>
        <v>K4.2</v>
      </c>
      <c r="B518" s="1623" t="str">
        <f>B494</f>
        <v>In Second Floor</v>
      </c>
      <c r="C518" s="938"/>
      <c r="D518" s="938"/>
      <c r="E518" s="1624">
        <v>1</v>
      </c>
      <c r="F518" s="1624">
        <v>125.2</v>
      </c>
      <c r="G518" s="1624"/>
      <c r="H518" s="1624">
        <v>3.45</v>
      </c>
      <c r="I518" s="1624">
        <f t="shared" ref="I518:I529" si="138">H518*F518*E518</f>
        <v>431.94000000000005</v>
      </c>
      <c r="J518" s="1624">
        <f>SUM(I518:I523)</f>
        <v>383.94000000000005</v>
      </c>
      <c r="K518" s="1643">
        <f t="shared" si="122"/>
        <v>1.05</v>
      </c>
      <c r="L518" s="1643">
        <f t="shared" ref="L518" si="139">K518*J518</f>
        <v>403.13700000000006</v>
      </c>
      <c r="M518" s="1634">
        <f t="shared" ref="M518" si="140">ROUND(L518,1)</f>
        <v>403.1</v>
      </c>
      <c r="N518" s="1644">
        <f t="shared" ref="N518" si="141">ROUNDUP(M518,0)</f>
        <v>404</v>
      </c>
      <c r="O518" s="1624" t="s">
        <v>692</v>
      </c>
      <c r="P518" s="934"/>
      <c r="Q518" s="934"/>
      <c r="R518" s="939"/>
      <c r="S518" s="939"/>
      <c r="T518" s="939"/>
      <c r="U518" s="939"/>
      <c r="V518" s="939"/>
    </row>
    <row r="519" spans="1:22" ht="15" thickTop="1" thickBot="1" x14ac:dyDescent="0.3">
      <c r="A519" s="937"/>
      <c r="B519" s="1623"/>
      <c r="C519" s="938"/>
      <c r="D519" s="938" t="s">
        <v>1876</v>
      </c>
      <c r="E519" s="1624">
        <v>-3</v>
      </c>
      <c r="F519" s="1624">
        <v>2.4</v>
      </c>
      <c r="G519" s="1624"/>
      <c r="H519" s="1624">
        <v>3</v>
      </c>
      <c r="I519" s="1624">
        <f t="shared" si="138"/>
        <v>-21.599999999999998</v>
      </c>
      <c r="J519" s="1624"/>
      <c r="K519" s="1643"/>
      <c r="L519" s="1643"/>
      <c r="M519" s="1634"/>
      <c r="N519" s="1644"/>
      <c r="O519" s="1624"/>
      <c r="P519" s="934"/>
      <c r="Q519" s="934"/>
      <c r="R519" s="939"/>
      <c r="S519" s="939"/>
      <c r="T519" s="939"/>
      <c r="U519" s="939"/>
      <c r="V519" s="939"/>
    </row>
    <row r="520" spans="1:22" ht="15" thickTop="1" thickBot="1" x14ac:dyDescent="0.3">
      <c r="A520" s="937"/>
      <c r="B520" s="1623"/>
      <c r="C520" s="938"/>
      <c r="D520" s="938" t="s">
        <v>1870</v>
      </c>
      <c r="E520" s="1624">
        <v>-2</v>
      </c>
      <c r="F520" s="1624">
        <v>0.6</v>
      </c>
      <c r="G520" s="1624"/>
      <c r="H520" s="1624">
        <v>1.5</v>
      </c>
      <c r="I520" s="1624">
        <f t="shared" si="138"/>
        <v>-1.7999999999999998</v>
      </c>
      <c r="J520" s="1624"/>
      <c r="K520" s="1643"/>
      <c r="L520" s="1643"/>
      <c r="M520" s="1634"/>
      <c r="N520" s="1644"/>
      <c r="O520" s="1624"/>
      <c r="P520" s="934"/>
      <c r="Q520" s="934"/>
      <c r="R520" s="939"/>
      <c r="S520" s="939"/>
      <c r="T520" s="939"/>
      <c r="U520" s="939"/>
      <c r="V520" s="939"/>
    </row>
    <row r="521" spans="1:22" ht="15" thickTop="1" thickBot="1" x14ac:dyDescent="0.3">
      <c r="A521" s="937"/>
      <c r="B521" s="1623"/>
      <c r="C521" s="938"/>
      <c r="D521" s="938" t="s">
        <v>1872</v>
      </c>
      <c r="E521" s="1624">
        <v>-1</v>
      </c>
      <c r="F521" s="1624">
        <v>3</v>
      </c>
      <c r="G521" s="1624"/>
      <c r="H521" s="1624">
        <v>3</v>
      </c>
      <c r="I521" s="1624">
        <f t="shared" si="138"/>
        <v>-9</v>
      </c>
      <c r="J521" s="1624"/>
      <c r="K521" s="1643"/>
      <c r="L521" s="1643"/>
      <c r="M521" s="1634"/>
      <c r="N521" s="1644"/>
      <c r="O521" s="1624"/>
      <c r="P521" s="934"/>
      <c r="Q521" s="934"/>
      <c r="R521" s="939"/>
      <c r="S521" s="939"/>
      <c r="T521" s="939"/>
      <c r="U521" s="939"/>
      <c r="V521" s="939"/>
    </row>
    <row r="522" spans="1:22" ht="15" thickTop="1" thickBot="1" x14ac:dyDescent="0.3">
      <c r="A522" s="937"/>
      <c r="B522" s="1623"/>
      <c r="C522" s="938"/>
      <c r="D522" s="938" t="s">
        <v>1877</v>
      </c>
      <c r="E522" s="1624">
        <v>-1</v>
      </c>
      <c r="F522" s="1624">
        <v>3.4</v>
      </c>
      <c r="G522" s="1624"/>
      <c r="H522" s="1624">
        <v>3</v>
      </c>
      <c r="I522" s="1624">
        <f t="shared" si="138"/>
        <v>-10.199999999999999</v>
      </c>
      <c r="J522" s="1624"/>
      <c r="K522" s="1643"/>
      <c r="L522" s="1643"/>
      <c r="M522" s="1634"/>
      <c r="N522" s="1644"/>
      <c r="O522" s="1624"/>
      <c r="P522" s="934"/>
      <c r="Q522" s="934"/>
      <c r="R522" s="939"/>
      <c r="S522" s="939"/>
      <c r="T522" s="939"/>
      <c r="U522" s="939"/>
      <c r="V522" s="939"/>
    </row>
    <row r="523" spans="1:22" ht="15" thickTop="1" thickBot="1" x14ac:dyDescent="0.3">
      <c r="A523" s="937"/>
      <c r="B523" s="1623"/>
      <c r="C523" s="938"/>
      <c r="D523" s="938" t="s">
        <v>1878</v>
      </c>
      <c r="E523" s="1624">
        <v>-1</v>
      </c>
      <c r="F523" s="1624">
        <v>2</v>
      </c>
      <c r="G523" s="1624"/>
      <c r="H523" s="1624">
        <v>2.7</v>
      </c>
      <c r="I523" s="1624">
        <f t="shared" si="138"/>
        <v>-5.4</v>
      </c>
      <c r="J523" s="1624"/>
      <c r="K523" s="1643"/>
      <c r="L523" s="1643"/>
      <c r="M523" s="1634"/>
      <c r="N523" s="1644"/>
      <c r="O523" s="1624"/>
      <c r="P523" s="934"/>
      <c r="Q523" s="934"/>
      <c r="R523" s="939"/>
      <c r="S523" s="939"/>
      <c r="T523" s="939"/>
      <c r="U523" s="939"/>
      <c r="V523" s="939"/>
    </row>
    <row r="524" spans="1:22" ht="15" thickTop="1" thickBot="1" x14ac:dyDescent="0.3">
      <c r="A524" s="937"/>
      <c r="B524" s="938"/>
      <c r="C524" s="938"/>
      <c r="D524" s="938"/>
      <c r="E524" s="1624"/>
      <c r="F524" s="1624"/>
      <c r="G524" s="1624"/>
      <c r="H524" s="1624"/>
      <c r="I524" s="1624"/>
      <c r="J524" s="1624"/>
      <c r="K524" s="1643"/>
      <c r="L524" s="1643"/>
      <c r="M524" s="1634"/>
      <c r="N524" s="1644"/>
      <c r="O524" s="1624"/>
      <c r="P524" s="934"/>
      <c r="Q524" s="934"/>
      <c r="R524" s="939"/>
      <c r="S524" s="939"/>
      <c r="T524" s="939"/>
      <c r="U524" s="939"/>
      <c r="V524" s="939"/>
    </row>
    <row r="525" spans="1:22" ht="15" thickTop="1" thickBot="1" x14ac:dyDescent="0.3">
      <c r="A525" s="937" t="str">
        <f>plastering!A28</f>
        <v>K4.3</v>
      </c>
      <c r="B525" s="1623" t="str">
        <f>B501</f>
        <v>Terrace Floor</v>
      </c>
      <c r="C525" s="938"/>
      <c r="D525" s="938"/>
      <c r="E525" s="1624">
        <v>1</v>
      </c>
      <c r="F525" s="1624">
        <v>40.200000000000003</v>
      </c>
      <c r="G525" s="1624"/>
      <c r="H525" s="1624">
        <v>3.4</v>
      </c>
      <c r="I525" s="1624">
        <f t="shared" si="138"/>
        <v>136.68</v>
      </c>
      <c r="J525" s="1624">
        <f>SUM(I525:I527)</f>
        <v>126.78</v>
      </c>
      <c r="K525" s="1643">
        <f t="shared" si="122"/>
        <v>1.05</v>
      </c>
      <c r="L525" s="1643">
        <f t="shared" ref="L525" si="142">K525*J525</f>
        <v>133.119</v>
      </c>
      <c r="M525" s="1634">
        <f t="shared" ref="M525" si="143">ROUND(L525,1)</f>
        <v>133.1</v>
      </c>
      <c r="N525" s="1644">
        <f t="shared" ref="N525" si="144">ROUNDUP(M525,0)</f>
        <v>134</v>
      </c>
      <c r="O525" s="1624" t="s">
        <v>692</v>
      </c>
      <c r="P525" s="934"/>
      <c r="Q525" s="934"/>
      <c r="R525" s="939"/>
      <c r="S525" s="939"/>
      <c r="T525" s="939"/>
      <c r="U525" s="939"/>
      <c r="V525" s="939"/>
    </row>
    <row r="526" spans="1:22" ht="15" thickTop="1" thickBot="1" x14ac:dyDescent="0.3">
      <c r="A526" s="937"/>
      <c r="B526" s="1623"/>
      <c r="C526" s="938"/>
      <c r="D526" s="938" t="s">
        <v>1870</v>
      </c>
      <c r="E526" s="1624">
        <v>-2</v>
      </c>
      <c r="F526" s="1624">
        <v>0.6</v>
      </c>
      <c r="G526" s="1624"/>
      <c r="H526" s="1624">
        <v>1.5</v>
      </c>
      <c r="I526" s="1624">
        <f t="shared" si="138"/>
        <v>-1.7999999999999998</v>
      </c>
      <c r="J526" s="1624"/>
      <c r="K526" s="1643"/>
      <c r="L526" s="1643"/>
      <c r="M526" s="1634"/>
      <c r="N526" s="1644"/>
      <c r="O526" s="1624"/>
      <c r="P526" s="934"/>
      <c r="Q526" s="934"/>
      <c r="R526" s="939"/>
      <c r="S526" s="939"/>
      <c r="T526" s="939"/>
      <c r="U526" s="939"/>
      <c r="V526" s="939"/>
    </row>
    <row r="527" spans="1:22" ht="15" thickTop="1" thickBot="1" x14ac:dyDescent="0.3">
      <c r="A527" s="937"/>
      <c r="B527" s="1623"/>
      <c r="C527" s="938"/>
      <c r="D527" s="938" t="s">
        <v>1866</v>
      </c>
      <c r="E527" s="1624">
        <v>-1</v>
      </c>
      <c r="F527" s="1624">
        <v>2.7</v>
      </c>
      <c r="G527" s="1624"/>
      <c r="H527" s="1624">
        <v>3</v>
      </c>
      <c r="I527" s="1624">
        <f t="shared" si="138"/>
        <v>-8.1000000000000014</v>
      </c>
      <c r="J527" s="1624"/>
      <c r="K527" s="1643"/>
      <c r="L527" s="1643"/>
      <c r="M527" s="1634"/>
      <c r="N527" s="1644"/>
      <c r="O527" s="1624"/>
      <c r="P527" s="934"/>
      <c r="Q527" s="934"/>
      <c r="R527" s="939"/>
      <c r="S527" s="939"/>
      <c r="T527" s="939"/>
      <c r="U527" s="939"/>
      <c r="V527" s="939"/>
    </row>
    <row r="528" spans="1:22" ht="15" thickTop="1" thickBot="1" x14ac:dyDescent="0.3">
      <c r="A528" s="937"/>
      <c r="B528" s="938"/>
      <c r="C528" s="938"/>
      <c r="D528" s="938"/>
      <c r="E528" s="1624"/>
      <c r="F528" s="1624"/>
      <c r="G528" s="1624"/>
      <c r="H528" s="1624"/>
      <c r="I528" s="1624"/>
      <c r="J528" s="1624"/>
      <c r="K528" s="1643"/>
      <c r="L528" s="1643"/>
      <c r="M528" s="1634"/>
      <c r="N528" s="1644"/>
      <c r="O528" s="1624"/>
      <c r="P528" s="934"/>
      <c r="Q528" s="934"/>
      <c r="R528" s="939"/>
      <c r="S528" s="939"/>
      <c r="T528" s="939"/>
      <c r="U528" s="939"/>
      <c r="V528" s="939"/>
    </row>
    <row r="529" spans="1:22" ht="15" thickTop="1" thickBot="1" x14ac:dyDescent="0.3">
      <c r="A529" s="937" t="e">
        <f>#REF!</f>
        <v>#REF!</v>
      </c>
      <c r="B529" s="1623" t="e">
        <f>#REF!</f>
        <v>#REF!</v>
      </c>
      <c r="C529" s="938"/>
      <c r="D529" s="938"/>
      <c r="E529" s="1624">
        <v>1</v>
      </c>
      <c r="F529" s="1624">
        <f>9.9+7.8</f>
        <v>17.7</v>
      </c>
      <c r="G529" s="1624"/>
      <c r="H529" s="1624">
        <v>3</v>
      </c>
      <c r="I529" s="1624">
        <f t="shared" si="138"/>
        <v>53.099999999999994</v>
      </c>
      <c r="J529" s="1624"/>
      <c r="K529" s="1643"/>
      <c r="L529" s="1643"/>
      <c r="M529" s="1634"/>
      <c r="N529" s="1644"/>
      <c r="O529" s="1624"/>
      <c r="P529" s="934"/>
      <c r="Q529" s="934"/>
      <c r="R529" s="939"/>
      <c r="S529" s="939"/>
      <c r="T529" s="939"/>
      <c r="U529" s="939"/>
      <c r="V529" s="939"/>
    </row>
    <row r="530" spans="1:22" ht="15" thickTop="1" thickBot="1" x14ac:dyDescent="0.3">
      <c r="A530" s="937"/>
      <c r="B530" s="938"/>
      <c r="C530" s="938"/>
      <c r="D530" s="938" t="s">
        <v>1870</v>
      </c>
      <c r="E530" s="1624">
        <v>-2</v>
      </c>
      <c r="F530" s="1624">
        <v>0.6</v>
      </c>
      <c r="G530" s="1624"/>
      <c r="H530" s="1624">
        <v>1.5</v>
      </c>
      <c r="I530" s="1624">
        <f t="shared" ref="I530" si="145">H530*F530*E530</f>
        <v>-1.7999999999999998</v>
      </c>
      <c r="J530" s="1624">
        <f>SUM(I529:I530)</f>
        <v>51.3</v>
      </c>
      <c r="K530" s="1643">
        <f t="shared" si="122"/>
        <v>1.05</v>
      </c>
      <c r="L530" s="1643">
        <f t="shared" ref="L530" si="146">K530*J530</f>
        <v>53.865000000000002</v>
      </c>
      <c r="M530" s="1634">
        <f t="shared" ref="M530" si="147">ROUND(L530,1)</f>
        <v>53.9</v>
      </c>
      <c r="N530" s="1644">
        <f t="shared" ref="N530" si="148">ROUNDUP(M530,0)</f>
        <v>54</v>
      </c>
      <c r="O530" s="1624" t="s">
        <v>692</v>
      </c>
      <c r="P530" s="934"/>
      <c r="Q530" s="934"/>
      <c r="R530" s="939"/>
      <c r="S530" s="939"/>
      <c r="T530" s="939"/>
      <c r="U530" s="939"/>
      <c r="V530" s="939"/>
    </row>
    <row r="531" spans="1:22" ht="15" thickTop="1" thickBot="1" x14ac:dyDescent="0.3">
      <c r="A531" s="937"/>
      <c r="B531" s="938"/>
      <c r="C531" s="938"/>
      <c r="D531" s="938"/>
      <c r="E531" s="1624"/>
      <c r="F531" s="1624"/>
      <c r="G531" s="1624"/>
      <c r="H531" s="1624"/>
      <c r="I531" s="1624"/>
      <c r="J531" s="1624"/>
      <c r="K531" s="1643"/>
      <c r="L531" s="1643"/>
      <c r="M531" s="1634"/>
      <c r="N531" s="1644"/>
      <c r="O531" s="1624"/>
      <c r="P531" s="934"/>
      <c r="Q531" s="934"/>
      <c r="R531" s="939"/>
      <c r="S531" s="939"/>
      <c r="T531" s="939"/>
      <c r="U531" s="939"/>
      <c r="V531" s="939"/>
    </row>
    <row r="532" spans="1:22" ht="15" thickTop="1" thickBot="1" x14ac:dyDescent="0.3">
      <c r="A532" s="937" t="e">
        <f>#REF!</f>
        <v>#REF!</v>
      </c>
      <c r="B532" s="1623" t="e">
        <f>#REF!</f>
        <v>#REF!</v>
      </c>
      <c r="C532" s="938"/>
      <c r="D532" s="938"/>
      <c r="E532" s="1624">
        <v>1</v>
      </c>
      <c r="F532" s="1624">
        <f>8.6+8.6+7+7</f>
        <v>31.2</v>
      </c>
      <c r="G532" s="1624"/>
      <c r="H532" s="1624">
        <v>3.3</v>
      </c>
      <c r="I532" s="1624">
        <f t="shared" ref="I532:I533" si="149">H532*F532*E532</f>
        <v>102.96</v>
      </c>
      <c r="J532" s="1624"/>
      <c r="K532" s="1643"/>
      <c r="L532" s="1643"/>
      <c r="M532" s="1634"/>
      <c r="N532" s="1644"/>
      <c r="O532" s="1624"/>
      <c r="P532" s="934"/>
      <c r="Q532" s="934"/>
      <c r="R532" s="939"/>
      <c r="S532" s="939"/>
      <c r="T532" s="939"/>
      <c r="U532" s="939"/>
      <c r="V532" s="939"/>
    </row>
    <row r="533" spans="1:22" ht="15" thickTop="1" thickBot="1" x14ac:dyDescent="0.3">
      <c r="A533" s="937"/>
      <c r="B533" s="938"/>
      <c r="C533" s="938"/>
      <c r="D533" s="938" t="s">
        <v>1870</v>
      </c>
      <c r="E533" s="1624">
        <v>-4</v>
      </c>
      <c r="F533" s="1624">
        <v>0.6</v>
      </c>
      <c r="G533" s="1624"/>
      <c r="H533" s="1624">
        <v>1.5</v>
      </c>
      <c r="I533" s="1624">
        <f t="shared" si="149"/>
        <v>-3.5999999999999996</v>
      </c>
      <c r="J533" s="1624">
        <f>SUM(I532:I533)</f>
        <v>99.36</v>
      </c>
      <c r="K533" s="1643">
        <f t="shared" si="122"/>
        <v>1.05</v>
      </c>
      <c r="L533" s="1643">
        <f t="shared" ref="L533" si="150">K533*J533</f>
        <v>104.328</v>
      </c>
      <c r="M533" s="1634">
        <f t="shared" ref="M533" si="151">ROUND(L533,1)</f>
        <v>104.3</v>
      </c>
      <c r="N533" s="1644">
        <f t="shared" ref="N533" si="152">ROUNDUP(M533,0)</f>
        <v>105</v>
      </c>
      <c r="O533" s="1624" t="s">
        <v>692</v>
      </c>
      <c r="P533" s="934"/>
      <c r="Q533" s="934"/>
      <c r="R533" s="939"/>
      <c r="S533" s="939"/>
      <c r="T533" s="939"/>
      <c r="U533" s="939"/>
      <c r="V533" s="939"/>
    </row>
    <row r="534" spans="1:22" ht="15" thickTop="1" thickBot="1" x14ac:dyDescent="0.3">
      <c r="A534" s="937"/>
      <c r="B534" s="938"/>
      <c r="C534" s="938"/>
      <c r="D534" s="938"/>
      <c r="E534" s="1624"/>
      <c r="F534" s="1624"/>
      <c r="G534" s="1624"/>
      <c r="H534" s="1624"/>
      <c r="I534" s="1624"/>
      <c r="J534" s="1624"/>
      <c r="K534" s="1643"/>
      <c r="L534" s="1643"/>
      <c r="M534" s="1634"/>
      <c r="N534" s="1644"/>
      <c r="O534" s="1624"/>
      <c r="P534" s="934"/>
      <c r="Q534" s="934"/>
      <c r="R534" s="939"/>
      <c r="S534" s="939"/>
      <c r="T534" s="939"/>
      <c r="U534" s="939"/>
      <c r="V534" s="939"/>
    </row>
    <row r="535" spans="1:22" ht="15" thickTop="1" thickBot="1" x14ac:dyDescent="0.3">
      <c r="A535" s="937" t="e">
        <f>#REF!</f>
        <v>#REF!</v>
      </c>
      <c r="B535" s="1623" t="e">
        <f>#REF!</f>
        <v>#REF!</v>
      </c>
      <c r="C535" s="938"/>
      <c r="D535" s="938"/>
      <c r="E535" s="1624">
        <v>1</v>
      </c>
      <c r="F535" s="1624">
        <v>7.8</v>
      </c>
      <c r="G535" s="1624"/>
      <c r="H535" s="1624">
        <v>3.1</v>
      </c>
      <c r="I535" s="1624">
        <f t="shared" ref="I535:I536" si="153">H535*F535*E535</f>
        <v>24.18</v>
      </c>
      <c r="J535" s="1624">
        <f>SUM(I535:I536)</f>
        <v>20.58</v>
      </c>
      <c r="K535" s="1643">
        <f t="shared" si="122"/>
        <v>1.05</v>
      </c>
      <c r="L535" s="1643">
        <f t="shared" ref="L535" si="154">K535*J535</f>
        <v>21.608999999999998</v>
      </c>
      <c r="M535" s="1634">
        <f t="shared" ref="M535" si="155">ROUND(L535,1)</f>
        <v>21.6</v>
      </c>
      <c r="N535" s="1644">
        <f t="shared" ref="N535" si="156">ROUNDUP(M535,0)</f>
        <v>22</v>
      </c>
      <c r="O535" s="1624" t="s">
        <v>692</v>
      </c>
      <c r="P535" s="934"/>
      <c r="Q535" s="934"/>
      <c r="R535" s="939"/>
      <c r="S535" s="939"/>
      <c r="T535" s="939"/>
      <c r="U535" s="939"/>
      <c r="V535" s="939"/>
    </row>
    <row r="536" spans="1:22" ht="15" thickTop="1" thickBot="1" x14ac:dyDescent="0.3">
      <c r="A536" s="937"/>
      <c r="B536" s="938"/>
      <c r="C536" s="938"/>
      <c r="D536" s="938" t="s">
        <v>1870</v>
      </c>
      <c r="E536" s="1624">
        <v>-4</v>
      </c>
      <c r="F536" s="1624">
        <v>0.6</v>
      </c>
      <c r="G536" s="1624"/>
      <c r="H536" s="1624">
        <v>1.5</v>
      </c>
      <c r="I536" s="1624">
        <f t="shared" si="153"/>
        <v>-3.5999999999999996</v>
      </c>
      <c r="J536" s="1624"/>
      <c r="K536" s="1643"/>
      <c r="L536" s="1643"/>
      <c r="M536" s="1634"/>
      <c r="N536" s="1644"/>
      <c r="O536" s="1624"/>
      <c r="P536" s="934"/>
      <c r="Q536" s="934"/>
      <c r="R536" s="939"/>
      <c r="S536" s="939"/>
      <c r="T536" s="939"/>
      <c r="U536" s="939"/>
      <c r="V536" s="939"/>
    </row>
    <row r="537" spans="1:22" s="1650" customFormat="1" ht="15" thickTop="1" thickBot="1" x14ac:dyDescent="0.3">
      <c r="A537" s="1646" t="e">
        <f>#REF!</f>
        <v>#REF!</v>
      </c>
      <c r="B537" s="1647" t="e">
        <f>#REF!</f>
        <v>#REF!</v>
      </c>
      <c r="C537" s="1629"/>
      <c r="D537" s="1629"/>
      <c r="E537" s="1639"/>
      <c r="F537" s="1639"/>
      <c r="G537" s="1639"/>
      <c r="H537" s="1639"/>
      <c r="I537" s="1639">
        <v>25.7</v>
      </c>
      <c r="J537" s="1639">
        <f>SUM(I537)</f>
        <v>25.7</v>
      </c>
      <c r="K537" s="1640">
        <f t="shared" si="122"/>
        <v>1.05</v>
      </c>
      <c r="L537" s="1640">
        <f t="shared" ref="L537" si="157">K537*J537</f>
        <v>26.984999999999999</v>
      </c>
      <c r="M537" s="1641">
        <f t="shared" ref="M537" si="158">ROUND(L537,1)</f>
        <v>27</v>
      </c>
      <c r="N537" s="1642">
        <f t="shared" ref="N537" si="159">ROUNDUP(M537,0)</f>
        <v>27</v>
      </c>
      <c r="O537" s="1639" t="s">
        <v>692</v>
      </c>
      <c r="P537" s="1648"/>
      <c r="Q537" s="1648"/>
      <c r="R537" s="1649"/>
      <c r="S537" s="1649"/>
      <c r="T537" s="1649"/>
      <c r="U537" s="1649"/>
      <c r="V537" s="1649"/>
    </row>
    <row r="538" spans="1:22" ht="15" thickTop="1" thickBot="1" x14ac:dyDescent="0.3">
      <c r="A538" s="937"/>
      <c r="B538" s="938"/>
      <c r="C538" s="938"/>
      <c r="D538" s="938"/>
      <c r="E538" s="1624"/>
      <c r="F538" s="1624"/>
      <c r="G538" s="1624"/>
      <c r="H538" s="1624"/>
      <c r="I538" s="1624"/>
      <c r="J538" s="1624"/>
      <c r="K538" s="1643"/>
      <c r="L538" s="1643"/>
      <c r="M538" s="1634"/>
      <c r="N538" s="1644"/>
      <c r="O538" s="1624"/>
      <c r="P538" s="934"/>
      <c r="Q538" s="934"/>
      <c r="R538" s="939"/>
      <c r="S538" s="939"/>
      <c r="T538" s="939"/>
      <c r="U538" s="939"/>
      <c r="V538" s="939"/>
    </row>
    <row r="539" spans="1:22" s="1650" customFormat="1" ht="15" thickTop="1" thickBot="1" x14ac:dyDescent="0.3">
      <c r="A539" s="1646" t="e">
        <f>#REF!</f>
        <v>#REF!</v>
      </c>
      <c r="B539" s="1647" t="e">
        <f>#REF!</f>
        <v>#REF!</v>
      </c>
      <c r="C539" s="1629"/>
      <c r="D539" s="1629"/>
      <c r="E539" s="1639"/>
      <c r="F539" s="1639"/>
      <c r="G539" s="1639"/>
      <c r="H539" s="1639"/>
      <c r="I539" s="1639"/>
      <c r="J539" s="1639"/>
      <c r="K539" s="1640"/>
      <c r="L539" s="1640"/>
      <c r="M539" s="1641"/>
      <c r="N539" s="1642"/>
      <c r="O539" s="1639"/>
      <c r="P539" s="1648"/>
      <c r="Q539" s="1648"/>
      <c r="R539" s="1649"/>
      <c r="S539" s="1649"/>
      <c r="T539" s="1649"/>
      <c r="U539" s="1649"/>
      <c r="V539" s="1649"/>
    </row>
    <row r="540" spans="1:22" ht="15" thickTop="1" thickBot="1" x14ac:dyDescent="0.3">
      <c r="A540" s="937"/>
      <c r="B540" s="938"/>
      <c r="C540" s="938"/>
      <c r="D540" s="938"/>
      <c r="E540" s="1624"/>
      <c r="F540" s="1624"/>
      <c r="G540" s="1624"/>
      <c r="H540" s="1624"/>
      <c r="I540" s="1639">
        <v>65</v>
      </c>
      <c r="J540" s="1639">
        <f>SUM(I539:I540)</f>
        <v>65</v>
      </c>
      <c r="K540" s="1640">
        <f t="shared" ref="K540" si="160">$K$2</f>
        <v>1.05</v>
      </c>
      <c r="L540" s="1640">
        <f t="shared" ref="L540" si="161">K540*J540</f>
        <v>68.25</v>
      </c>
      <c r="M540" s="1641">
        <f t="shared" ref="M540" si="162">ROUND(L540,1)</f>
        <v>68.3</v>
      </c>
      <c r="N540" s="1642">
        <f t="shared" ref="N540" si="163">ROUNDUP(M540,0)</f>
        <v>69</v>
      </c>
      <c r="O540" s="1639" t="s">
        <v>692</v>
      </c>
      <c r="P540" s="934"/>
      <c r="Q540" s="934"/>
      <c r="R540" s="939"/>
      <c r="S540" s="939"/>
      <c r="T540" s="939"/>
      <c r="U540" s="939"/>
      <c r="V540" s="939"/>
    </row>
    <row r="541" spans="1:22" ht="15" thickTop="1" thickBot="1" x14ac:dyDescent="0.3">
      <c r="A541" s="937"/>
      <c r="B541" s="938"/>
      <c r="C541" s="938"/>
      <c r="D541" s="938"/>
      <c r="E541" s="1624"/>
      <c r="F541" s="1624"/>
      <c r="G541" s="1624"/>
      <c r="H541" s="1624"/>
      <c r="I541" s="1624"/>
      <c r="J541" s="1624"/>
      <c r="K541" s="1643"/>
      <c r="L541" s="1643"/>
      <c r="M541" s="1634"/>
      <c r="N541" s="1644"/>
      <c r="O541" s="1624"/>
      <c r="P541" s="934"/>
      <c r="Q541" s="934"/>
      <c r="R541" s="939"/>
      <c r="S541" s="939"/>
      <c r="T541" s="939"/>
      <c r="U541" s="939"/>
      <c r="V541" s="939"/>
    </row>
    <row r="542" spans="1:22" s="1650" customFormat="1" ht="15" thickTop="1" thickBot="1" x14ac:dyDescent="0.3">
      <c r="A542" s="1646" t="e">
        <f>#REF!</f>
        <v>#REF!</v>
      </c>
      <c r="B542" s="1647" t="e">
        <f>#REF!</f>
        <v>#REF!</v>
      </c>
      <c r="C542" s="1629"/>
      <c r="D542" s="1629"/>
      <c r="E542" s="1639"/>
      <c r="F542" s="1639"/>
      <c r="G542" s="1639"/>
      <c r="H542" s="1639"/>
      <c r="I542" s="1639">
        <v>5.9</v>
      </c>
      <c r="J542" s="1639"/>
      <c r="K542" s="1640"/>
      <c r="L542" s="1640"/>
      <c r="M542" s="1641"/>
      <c r="N542" s="1642"/>
      <c r="O542" s="1639"/>
      <c r="P542" s="1648"/>
      <c r="Q542" s="1648"/>
      <c r="R542" s="1649"/>
      <c r="S542" s="1649"/>
      <c r="T542" s="1649"/>
      <c r="U542" s="1649"/>
      <c r="V542" s="1649"/>
    </row>
    <row r="543" spans="1:22" ht="15" thickTop="1" thickBot="1" x14ac:dyDescent="0.3">
      <c r="A543" s="937"/>
      <c r="B543" s="938"/>
      <c r="C543" s="938"/>
      <c r="D543" s="938"/>
      <c r="E543" s="1624"/>
      <c r="F543" s="1624"/>
      <c r="G543" s="1624"/>
      <c r="H543" s="1624"/>
      <c r="I543" s="1639">
        <v>2.2999999999999998</v>
      </c>
      <c r="J543" s="1624"/>
      <c r="K543" s="1643"/>
      <c r="L543" s="1643"/>
      <c r="M543" s="1634"/>
      <c r="N543" s="1644"/>
      <c r="O543" s="1624"/>
      <c r="P543" s="934"/>
      <c r="Q543" s="934"/>
      <c r="R543" s="939"/>
      <c r="S543" s="939"/>
      <c r="T543" s="939"/>
      <c r="U543" s="939"/>
      <c r="V543" s="939"/>
    </row>
    <row r="544" spans="1:22" ht="15" thickTop="1" thickBot="1" x14ac:dyDescent="0.3">
      <c r="A544" s="937"/>
      <c r="B544" s="938"/>
      <c r="C544" s="938"/>
      <c r="D544" s="938"/>
      <c r="E544" s="1624"/>
      <c r="F544" s="1624"/>
      <c r="G544" s="1624"/>
      <c r="H544" s="1624"/>
      <c r="I544" s="1639">
        <v>2.8</v>
      </c>
      <c r="J544" s="1624"/>
      <c r="K544" s="1643"/>
      <c r="L544" s="1643"/>
      <c r="M544" s="1634"/>
      <c r="N544" s="1644"/>
      <c r="O544" s="1624"/>
      <c r="P544" s="934"/>
      <c r="Q544" s="934"/>
      <c r="R544" s="939"/>
      <c r="S544" s="939"/>
      <c r="T544" s="939"/>
      <c r="U544" s="939"/>
      <c r="V544" s="939"/>
    </row>
    <row r="545" spans="1:22" ht="15" thickTop="1" thickBot="1" x14ac:dyDescent="0.3">
      <c r="A545" s="937"/>
      <c r="B545" s="938"/>
      <c r="C545" s="938"/>
      <c r="D545" s="938"/>
      <c r="E545" s="1624"/>
      <c r="F545" s="1624"/>
      <c r="G545" s="1624"/>
      <c r="H545" s="1624"/>
      <c r="I545" s="1639">
        <v>1</v>
      </c>
      <c r="J545" s="1624"/>
      <c r="K545" s="1643"/>
      <c r="L545" s="1643"/>
      <c r="M545" s="1634"/>
      <c r="N545" s="1644"/>
      <c r="O545" s="1624"/>
      <c r="P545" s="934"/>
      <c r="Q545" s="934"/>
      <c r="R545" s="939"/>
      <c r="S545" s="939"/>
      <c r="T545" s="939"/>
      <c r="U545" s="939"/>
      <c r="V545" s="939"/>
    </row>
    <row r="546" spans="1:22" ht="15" thickTop="1" thickBot="1" x14ac:dyDescent="0.3">
      <c r="A546" s="937"/>
      <c r="B546" s="938"/>
      <c r="C546" s="938"/>
      <c r="D546" s="938"/>
      <c r="E546" s="1624"/>
      <c r="F546" s="1624"/>
      <c r="G546" s="1624"/>
      <c r="H546" s="1624"/>
      <c r="I546" s="1639">
        <v>3.9</v>
      </c>
      <c r="J546" s="1624"/>
      <c r="K546" s="1643"/>
      <c r="L546" s="1643"/>
      <c r="M546" s="1634"/>
      <c r="N546" s="1644"/>
      <c r="O546" s="1624"/>
      <c r="P546" s="934"/>
      <c r="Q546" s="934"/>
      <c r="R546" s="939"/>
      <c r="S546" s="939"/>
      <c r="T546" s="939"/>
      <c r="U546" s="939"/>
      <c r="V546" s="939"/>
    </row>
    <row r="547" spans="1:22" ht="15" thickTop="1" thickBot="1" x14ac:dyDescent="0.3">
      <c r="A547" s="937"/>
      <c r="B547" s="938"/>
      <c r="C547" s="938"/>
      <c r="D547" s="938"/>
      <c r="E547" s="1624"/>
      <c r="F547" s="1624"/>
      <c r="G547" s="1624"/>
      <c r="H547" s="1624"/>
      <c r="I547" s="1639"/>
      <c r="J547" s="1624">
        <f>SUM(I542:I547)</f>
        <v>15.9</v>
      </c>
      <c r="K547" s="1643">
        <f t="shared" ref="K547:K568" si="164">$K$2</f>
        <v>1.05</v>
      </c>
      <c r="L547" s="1643">
        <f t="shared" ref="L547:L603" si="165">K547*J547</f>
        <v>16.695</v>
      </c>
      <c r="M547" s="1634">
        <f t="shared" ref="M547:M603" si="166">ROUND(L547,1)</f>
        <v>16.7</v>
      </c>
      <c r="N547" s="1644">
        <f t="shared" ref="N547:N603" si="167">ROUNDUP(M547,0)</f>
        <v>17</v>
      </c>
      <c r="O547" s="1639" t="s">
        <v>1293</v>
      </c>
      <c r="P547" s="934"/>
      <c r="Q547" s="934"/>
      <c r="R547" s="939"/>
      <c r="S547" s="939"/>
      <c r="T547" s="939"/>
      <c r="U547" s="939"/>
      <c r="V547" s="939"/>
    </row>
    <row r="548" spans="1:22" ht="15" thickTop="1" thickBot="1" x14ac:dyDescent="0.3">
      <c r="A548" s="937"/>
      <c r="B548" s="938"/>
      <c r="C548" s="938"/>
      <c r="D548" s="938"/>
      <c r="E548" s="1624"/>
      <c r="F548" s="1624"/>
      <c r="G548" s="1624"/>
      <c r="H548" s="1624"/>
      <c r="I548" s="1624"/>
      <c r="J548" s="1624"/>
      <c r="K548" s="1643"/>
      <c r="L548" s="1643"/>
      <c r="M548" s="1634"/>
      <c r="N548" s="1644"/>
      <c r="O548" s="1624"/>
      <c r="P548" s="934"/>
      <c r="Q548" s="934"/>
      <c r="R548" s="939"/>
      <c r="S548" s="939"/>
      <c r="T548" s="939"/>
      <c r="U548" s="939"/>
      <c r="V548" s="939"/>
    </row>
    <row r="549" spans="1:22" s="1650" customFormat="1" ht="15" thickTop="1" thickBot="1" x14ac:dyDescent="0.3">
      <c r="A549" s="1646" t="e">
        <f>#REF!</f>
        <v>#REF!</v>
      </c>
      <c r="B549" s="1647" t="e">
        <f>#REF!</f>
        <v>#REF!</v>
      </c>
      <c r="C549" s="1629"/>
      <c r="D549" s="1629"/>
      <c r="E549" s="1639"/>
      <c r="F549" s="1639"/>
      <c r="G549" s="1639"/>
      <c r="H549" s="1639"/>
      <c r="I549" s="1639">
        <v>11</v>
      </c>
      <c r="J549" s="1639">
        <f>SUM(I549)</f>
        <v>11</v>
      </c>
      <c r="K549" s="1640">
        <f t="shared" si="164"/>
        <v>1.05</v>
      </c>
      <c r="L549" s="1640">
        <f t="shared" si="165"/>
        <v>11.55</v>
      </c>
      <c r="M549" s="1641">
        <f t="shared" si="166"/>
        <v>11.6</v>
      </c>
      <c r="N549" s="1642">
        <f t="shared" si="167"/>
        <v>12</v>
      </c>
      <c r="O549" s="1639" t="s">
        <v>692</v>
      </c>
      <c r="P549" s="1648"/>
      <c r="Q549" s="1648"/>
      <c r="R549" s="1649"/>
      <c r="S549" s="1649"/>
      <c r="T549" s="1649"/>
      <c r="U549" s="1649"/>
      <c r="V549" s="1649"/>
    </row>
    <row r="550" spans="1:22" ht="15" thickTop="1" thickBot="1" x14ac:dyDescent="0.3">
      <c r="A550" s="937"/>
      <c r="B550" s="938"/>
      <c r="C550" s="938"/>
      <c r="D550" s="938"/>
      <c r="E550" s="1624"/>
      <c r="F550" s="1624"/>
      <c r="G550" s="1624"/>
      <c r="H550" s="1624"/>
      <c r="I550" s="1624"/>
      <c r="J550" s="1624"/>
      <c r="K550" s="1643"/>
      <c r="L550" s="1643"/>
      <c r="M550" s="1634"/>
      <c r="N550" s="1644"/>
      <c r="O550" s="1624"/>
      <c r="P550" s="934"/>
      <c r="Q550" s="934"/>
      <c r="R550" s="939"/>
      <c r="S550" s="939"/>
      <c r="T550" s="939"/>
      <c r="U550" s="939"/>
      <c r="V550" s="939"/>
    </row>
    <row r="551" spans="1:22" s="1650" customFormat="1" ht="15" thickTop="1" thickBot="1" x14ac:dyDescent="0.3">
      <c r="A551" s="1646" t="e">
        <f>#REF!</f>
        <v>#REF!</v>
      </c>
      <c r="B551" s="1647" t="e">
        <f>#REF!</f>
        <v>#REF!</v>
      </c>
      <c r="C551" s="1629"/>
      <c r="D551" s="1629"/>
      <c r="E551" s="1639"/>
      <c r="F551" s="1639"/>
      <c r="G551" s="1639"/>
      <c r="H551" s="1639"/>
      <c r="I551" s="1639">
        <v>7.34</v>
      </c>
      <c r="J551" s="1639"/>
      <c r="K551" s="1640"/>
      <c r="L551" s="1640"/>
      <c r="M551" s="1641"/>
      <c r="N551" s="1642"/>
      <c r="O551" s="1639"/>
      <c r="P551" s="1648"/>
      <c r="Q551" s="1648"/>
      <c r="R551" s="1649"/>
      <c r="S551" s="1649"/>
      <c r="T551" s="1649"/>
      <c r="U551" s="1649"/>
      <c r="V551" s="1649"/>
    </row>
    <row r="552" spans="1:22" ht="15" thickTop="1" thickBot="1" x14ac:dyDescent="0.3">
      <c r="A552" s="937"/>
      <c r="B552" s="938"/>
      <c r="C552" s="938"/>
      <c r="D552" s="938"/>
      <c r="E552" s="1624"/>
      <c r="F552" s="1624"/>
      <c r="G552" s="1624"/>
      <c r="H552" s="1624"/>
      <c r="I552" s="1639"/>
      <c r="J552" s="1624">
        <f>SUM(I551:I552)</f>
        <v>7.34</v>
      </c>
      <c r="K552" s="1643">
        <f t="shared" si="164"/>
        <v>1.05</v>
      </c>
      <c r="L552" s="1643">
        <f t="shared" si="165"/>
        <v>7.7069999999999999</v>
      </c>
      <c r="M552" s="1634">
        <f t="shared" si="166"/>
        <v>7.7</v>
      </c>
      <c r="N552" s="1644">
        <f t="shared" si="167"/>
        <v>8</v>
      </c>
      <c r="O552" s="1624" t="s">
        <v>1293</v>
      </c>
      <c r="P552" s="934"/>
      <c r="Q552" s="934"/>
      <c r="R552" s="939"/>
      <c r="S552" s="939"/>
      <c r="T552" s="939"/>
      <c r="U552" s="939"/>
      <c r="V552" s="939"/>
    </row>
    <row r="553" spans="1:22" ht="15" thickTop="1" thickBot="1" x14ac:dyDescent="0.3">
      <c r="A553" s="937"/>
      <c r="B553" s="938"/>
      <c r="C553" s="938"/>
      <c r="D553" s="938"/>
      <c r="E553" s="1624"/>
      <c r="F553" s="1624"/>
      <c r="G553" s="1624"/>
      <c r="H553" s="1624"/>
      <c r="I553" s="1639"/>
      <c r="J553" s="1624"/>
      <c r="K553" s="1643"/>
      <c r="L553" s="1643"/>
      <c r="M553" s="1634"/>
      <c r="N553" s="1644"/>
      <c r="O553" s="1624"/>
      <c r="P553" s="934"/>
      <c r="Q553" s="934"/>
      <c r="R553" s="939"/>
      <c r="S553" s="939"/>
      <c r="T553" s="939"/>
      <c r="U553" s="939"/>
      <c r="V553" s="939"/>
    </row>
    <row r="554" spans="1:22" ht="15" thickTop="1" thickBot="1" x14ac:dyDescent="0.3">
      <c r="A554" s="937" t="e">
        <f>#REF!</f>
        <v>#REF!</v>
      </c>
      <c r="B554" s="1647" t="e">
        <f>#REF!</f>
        <v>#REF!</v>
      </c>
      <c r="C554" s="938"/>
      <c r="D554" s="938"/>
      <c r="E554" s="1624"/>
      <c r="F554" s="1624"/>
      <c r="G554" s="1624"/>
      <c r="H554" s="1624"/>
      <c r="I554" s="1639">
        <v>13.5</v>
      </c>
      <c r="J554" s="1639">
        <f>SUM(I554)</f>
        <v>13.5</v>
      </c>
      <c r="K554" s="1640">
        <f t="shared" si="164"/>
        <v>1.05</v>
      </c>
      <c r="L554" s="1640">
        <f t="shared" ref="L554" si="168">K554*J554</f>
        <v>14.175000000000001</v>
      </c>
      <c r="M554" s="1641">
        <f t="shared" ref="M554" si="169">ROUND(L554,1)</f>
        <v>14.2</v>
      </c>
      <c r="N554" s="1642">
        <f t="shared" ref="N554" si="170">ROUNDUP(M554,0)</f>
        <v>15</v>
      </c>
      <c r="O554" s="1639" t="s">
        <v>692</v>
      </c>
      <c r="P554" s="934"/>
      <c r="Q554" s="934"/>
      <c r="R554" s="939"/>
      <c r="S554" s="939"/>
      <c r="T554" s="939"/>
      <c r="U554" s="939"/>
      <c r="V554" s="939"/>
    </row>
    <row r="555" spans="1:22" ht="15" thickTop="1" thickBot="1" x14ac:dyDescent="0.3">
      <c r="A555" s="937"/>
      <c r="B555" s="938"/>
      <c r="C555" s="938"/>
      <c r="D555" s="938"/>
      <c r="E555" s="1624"/>
      <c r="F555" s="1624"/>
      <c r="G555" s="1624"/>
      <c r="H555" s="1624"/>
      <c r="I555" s="1639"/>
      <c r="J555" s="1624"/>
      <c r="K555" s="1643"/>
      <c r="L555" s="1643"/>
      <c r="M555" s="1634"/>
      <c r="N555" s="1644"/>
      <c r="O555" s="1624"/>
      <c r="P555" s="934"/>
      <c r="Q555" s="934"/>
      <c r="R555" s="939"/>
      <c r="S555" s="939"/>
      <c r="T555" s="939"/>
      <c r="U555" s="939"/>
      <c r="V555" s="939"/>
    </row>
    <row r="556" spans="1:22" ht="15" thickTop="1" thickBot="1" x14ac:dyDescent="0.3">
      <c r="A556" s="937" t="e">
        <f>#REF!</f>
        <v>#REF!</v>
      </c>
      <c r="B556" s="1647" t="e">
        <f>#REF!</f>
        <v>#REF!</v>
      </c>
      <c r="C556" s="938"/>
      <c r="D556" s="938"/>
      <c r="E556" s="1624"/>
      <c r="F556" s="1624"/>
      <c r="G556" s="1624"/>
      <c r="H556" s="1624"/>
      <c r="I556" s="1639">
        <v>4.8499999999999996</v>
      </c>
      <c r="J556" s="1624"/>
      <c r="K556" s="1643"/>
      <c r="L556" s="1643"/>
      <c r="M556" s="1634"/>
      <c r="N556" s="1644"/>
      <c r="O556" s="1624"/>
      <c r="P556" s="934"/>
      <c r="Q556" s="934"/>
      <c r="R556" s="939"/>
      <c r="S556" s="939"/>
      <c r="T556" s="939"/>
      <c r="U556" s="939"/>
      <c r="V556" s="939"/>
    </row>
    <row r="557" spans="1:22" ht="15" thickTop="1" thickBot="1" x14ac:dyDescent="0.3">
      <c r="A557" s="937"/>
      <c r="B557" s="938"/>
      <c r="C557" s="938"/>
      <c r="D557" s="938"/>
      <c r="E557" s="1624"/>
      <c r="F557" s="1624"/>
      <c r="G557" s="1624"/>
      <c r="H557" s="1624"/>
      <c r="I557" s="1639">
        <v>3.7</v>
      </c>
      <c r="J557" s="1624"/>
      <c r="K557" s="1643"/>
      <c r="L557" s="1643"/>
      <c r="M557" s="1634"/>
      <c r="N557" s="1644"/>
      <c r="O557" s="1624"/>
      <c r="P557" s="934"/>
      <c r="Q557" s="934"/>
      <c r="R557" s="939"/>
      <c r="S557" s="939"/>
      <c r="T557" s="939"/>
      <c r="U557" s="939"/>
      <c r="V557" s="939"/>
    </row>
    <row r="558" spans="1:22" ht="15" thickTop="1" thickBot="1" x14ac:dyDescent="0.3">
      <c r="A558" s="937"/>
      <c r="B558" s="938"/>
      <c r="C558" s="938"/>
      <c r="D558" s="938"/>
      <c r="E558" s="1624"/>
      <c r="F558" s="1624"/>
      <c r="G558" s="1624"/>
      <c r="H558" s="1624"/>
      <c r="I558" s="1639">
        <v>6.3</v>
      </c>
      <c r="J558" s="1624">
        <f>SUM(I556:I558)</f>
        <v>14.850000000000001</v>
      </c>
      <c r="K558" s="1643">
        <f t="shared" si="164"/>
        <v>1.05</v>
      </c>
      <c r="L558" s="1643">
        <f t="shared" ref="L558:L560" si="171">K558*J558</f>
        <v>15.592500000000003</v>
      </c>
      <c r="M558" s="1634">
        <f t="shared" ref="M558:M560" si="172">ROUND(L558,1)</f>
        <v>15.6</v>
      </c>
      <c r="N558" s="1644">
        <f t="shared" ref="N558:N560" si="173">ROUNDUP(M558,0)</f>
        <v>16</v>
      </c>
      <c r="O558" s="1624" t="s">
        <v>1293</v>
      </c>
      <c r="P558" s="934"/>
      <c r="Q558" s="934"/>
      <c r="R558" s="939"/>
      <c r="S558" s="939"/>
      <c r="T558" s="939"/>
      <c r="U558" s="939"/>
      <c r="V558" s="939"/>
    </row>
    <row r="559" spans="1:22" ht="15" thickTop="1" thickBot="1" x14ac:dyDescent="0.3">
      <c r="A559" s="937"/>
      <c r="B559" s="938"/>
      <c r="C559" s="938"/>
      <c r="D559" s="938"/>
      <c r="E559" s="1624"/>
      <c r="F559" s="1624"/>
      <c r="G559" s="1624"/>
      <c r="H559" s="1624"/>
      <c r="I559" s="1639"/>
      <c r="J559" s="1624"/>
      <c r="K559" s="1643"/>
      <c r="L559" s="1643"/>
      <c r="M559" s="1634"/>
      <c r="N559" s="1644"/>
      <c r="O559" s="1624"/>
      <c r="P559" s="934"/>
      <c r="Q559" s="934"/>
      <c r="R559" s="939"/>
      <c r="S559" s="939"/>
      <c r="T559" s="939"/>
      <c r="U559" s="939"/>
      <c r="V559" s="939"/>
    </row>
    <row r="560" spans="1:22" ht="15" thickTop="1" thickBot="1" x14ac:dyDescent="0.3">
      <c r="A560" s="937" t="e">
        <f>#REF!</f>
        <v>#REF!</v>
      </c>
      <c r="B560" s="1647" t="e">
        <f>#REF!</f>
        <v>#REF!</v>
      </c>
      <c r="C560" s="938"/>
      <c r="D560" s="938"/>
      <c r="E560" s="1624"/>
      <c r="F560" s="1624"/>
      <c r="G560" s="1624"/>
      <c r="H560" s="1624"/>
      <c r="I560" s="1639">
        <f>4.7+3.8</f>
        <v>8.5</v>
      </c>
      <c r="J560" s="1639">
        <f>SUM(I560)</f>
        <v>8.5</v>
      </c>
      <c r="K560" s="1640">
        <f t="shared" si="164"/>
        <v>1.05</v>
      </c>
      <c r="L560" s="1640">
        <f t="shared" si="171"/>
        <v>8.9250000000000007</v>
      </c>
      <c r="M560" s="1641">
        <f t="shared" si="172"/>
        <v>8.9</v>
      </c>
      <c r="N560" s="1642">
        <f t="shared" si="173"/>
        <v>9</v>
      </c>
      <c r="O560" s="1639" t="s">
        <v>692</v>
      </c>
      <c r="P560" s="934"/>
      <c r="Q560" s="934"/>
      <c r="R560" s="939"/>
      <c r="S560" s="939"/>
      <c r="T560" s="939"/>
      <c r="U560" s="939"/>
      <c r="V560" s="939"/>
    </row>
    <row r="561" spans="1:22" ht="15" thickTop="1" thickBot="1" x14ac:dyDescent="0.3">
      <c r="A561" s="937"/>
      <c r="B561" s="938"/>
      <c r="C561" s="938"/>
      <c r="D561" s="938"/>
      <c r="E561" s="1624"/>
      <c r="F561" s="1624"/>
      <c r="G561" s="1624"/>
      <c r="H561" s="1624"/>
      <c r="I561" s="1624"/>
      <c r="J561" s="1624"/>
      <c r="K561" s="1643"/>
      <c r="L561" s="1643"/>
      <c r="M561" s="1634"/>
      <c r="N561" s="1644"/>
      <c r="O561" s="1624"/>
      <c r="P561" s="934"/>
      <c r="Q561" s="934"/>
      <c r="R561" s="939"/>
      <c r="S561" s="939"/>
      <c r="T561" s="939"/>
      <c r="U561" s="939"/>
      <c r="V561" s="939"/>
    </row>
    <row r="562" spans="1:22" s="1650" customFormat="1" ht="15" thickTop="1" thickBot="1" x14ac:dyDescent="0.3">
      <c r="A562" s="1646" t="e">
        <f>#REF!</f>
        <v>#REF!</v>
      </c>
      <c r="B562" s="1647" t="e">
        <f>#REF!</f>
        <v>#REF!</v>
      </c>
      <c r="C562" s="1629"/>
      <c r="D562" s="1629"/>
      <c r="E562" s="1639"/>
      <c r="F562" s="1639"/>
      <c r="G562" s="1639"/>
      <c r="H562" s="1639"/>
      <c r="I562" s="1639"/>
      <c r="J562" s="1639"/>
      <c r="K562" s="1640"/>
      <c r="L562" s="1640"/>
      <c r="M562" s="1641"/>
      <c r="N562" s="1642"/>
      <c r="O562" s="1639"/>
      <c r="P562" s="1648"/>
      <c r="Q562" s="1648"/>
      <c r="R562" s="1649"/>
      <c r="S562" s="1649"/>
      <c r="T562" s="1649"/>
      <c r="U562" s="1649"/>
      <c r="V562" s="1649"/>
    </row>
    <row r="563" spans="1:22" ht="15" thickTop="1" thickBot="1" x14ac:dyDescent="0.3">
      <c r="A563" s="937"/>
      <c r="B563" s="938"/>
      <c r="C563" s="938"/>
      <c r="D563" s="938"/>
      <c r="E563" s="1624"/>
      <c r="F563" s="1624"/>
      <c r="G563" s="1624"/>
      <c r="H563" s="1624"/>
      <c r="I563" s="1639">
        <v>3.2</v>
      </c>
      <c r="J563" s="1624">
        <f>SUM(I562:I563)</f>
        <v>3.2</v>
      </c>
      <c r="K563" s="1643">
        <f t="shared" si="164"/>
        <v>1.05</v>
      </c>
      <c r="L563" s="1643">
        <f t="shared" si="165"/>
        <v>3.3600000000000003</v>
      </c>
      <c r="M563" s="1634">
        <f t="shared" si="166"/>
        <v>3.4</v>
      </c>
      <c r="N563" s="1644">
        <f t="shared" si="167"/>
        <v>4</v>
      </c>
      <c r="O563" s="1639" t="s">
        <v>692</v>
      </c>
      <c r="P563" s="934"/>
      <c r="Q563" s="934"/>
      <c r="R563" s="939"/>
      <c r="S563" s="939"/>
      <c r="T563" s="939"/>
      <c r="U563" s="939"/>
      <c r="V563" s="939"/>
    </row>
    <row r="564" spans="1:22" ht="15" thickTop="1" thickBot="1" x14ac:dyDescent="0.3">
      <c r="A564" s="937"/>
      <c r="B564" s="938"/>
      <c r="C564" s="938"/>
      <c r="D564" s="938"/>
      <c r="E564" s="1624"/>
      <c r="F564" s="1624"/>
      <c r="G564" s="1624"/>
      <c r="H564" s="1624"/>
      <c r="I564" s="1639"/>
      <c r="J564" s="1624"/>
      <c r="K564" s="1643"/>
      <c r="L564" s="1643"/>
      <c r="M564" s="1634"/>
      <c r="N564" s="1644"/>
      <c r="O564" s="1639"/>
      <c r="P564" s="934"/>
      <c r="Q564" s="934"/>
      <c r="R564" s="939"/>
      <c r="S564" s="939"/>
      <c r="T564" s="939"/>
      <c r="U564" s="939"/>
      <c r="V564" s="939"/>
    </row>
    <row r="565" spans="1:22" ht="15" thickTop="1" thickBot="1" x14ac:dyDescent="0.3">
      <c r="A565" s="937" t="e">
        <f>#REF!</f>
        <v>#REF!</v>
      </c>
      <c r="B565" s="1647" t="e">
        <f>#REF!</f>
        <v>#REF!</v>
      </c>
      <c r="C565" s="938"/>
      <c r="D565" s="938"/>
      <c r="E565" s="1624"/>
      <c r="F565" s="1624"/>
      <c r="G565" s="1624"/>
      <c r="H565" s="1624"/>
      <c r="I565" s="1639">
        <v>7</v>
      </c>
      <c r="J565" s="1624">
        <f>SUM(I565)</f>
        <v>7</v>
      </c>
      <c r="K565" s="1643">
        <f t="shared" si="164"/>
        <v>1.05</v>
      </c>
      <c r="L565" s="1643">
        <f t="shared" ref="L565" si="174">K565*J565</f>
        <v>7.3500000000000005</v>
      </c>
      <c r="M565" s="1634">
        <f t="shared" ref="M565" si="175">ROUND(L565,1)</f>
        <v>7.4</v>
      </c>
      <c r="N565" s="1644">
        <f t="shared" ref="N565" si="176">ROUNDUP(M565,0)</f>
        <v>8</v>
      </c>
      <c r="O565" s="1624" t="s">
        <v>1293</v>
      </c>
      <c r="P565" s="934"/>
      <c r="Q565" s="934"/>
      <c r="R565" s="939"/>
      <c r="S565" s="939"/>
      <c r="T565" s="939"/>
      <c r="U565" s="939"/>
      <c r="V565" s="939"/>
    </row>
    <row r="566" spans="1:22" ht="15" thickTop="1" thickBot="1" x14ac:dyDescent="0.3">
      <c r="A566" s="937"/>
      <c r="B566" s="938"/>
      <c r="C566" s="938"/>
      <c r="D566" s="938"/>
      <c r="E566" s="1624"/>
      <c r="F566" s="1624"/>
      <c r="G566" s="1624"/>
      <c r="H566" s="1624"/>
      <c r="I566" s="1639"/>
      <c r="J566" s="1624"/>
      <c r="K566" s="1643"/>
      <c r="L566" s="1643"/>
      <c r="M566" s="1634"/>
      <c r="N566" s="1644"/>
      <c r="O566" s="1639"/>
      <c r="P566" s="934"/>
      <c r="Q566" s="934"/>
      <c r="R566" s="939"/>
      <c r="S566" s="939"/>
      <c r="T566" s="939"/>
      <c r="U566" s="939"/>
      <c r="V566" s="939"/>
    </row>
    <row r="567" spans="1:22" ht="15" thickTop="1" thickBot="1" x14ac:dyDescent="0.3">
      <c r="A567" s="937"/>
      <c r="B567" s="938"/>
      <c r="C567" s="938"/>
      <c r="D567" s="938"/>
      <c r="E567" s="1624"/>
      <c r="F567" s="1624"/>
      <c r="G567" s="1624"/>
      <c r="H567" s="1624"/>
      <c r="I567" s="1639"/>
      <c r="J567" s="1624"/>
      <c r="K567" s="1643"/>
      <c r="L567" s="1643"/>
      <c r="M567" s="1634"/>
      <c r="N567" s="1644"/>
      <c r="O567" s="1639"/>
      <c r="P567" s="934"/>
      <c r="Q567" s="934"/>
      <c r="R567" s="939"/>
      <c r="S567" s="939"/>
      <c r="T567" s="939"/>
      <c r="U567" s="939"/>
      <c r="V567" s="939"/>
    </row>
    <row r="568" spans="1:22" s="1650" customFormat="1" ht="15" thickTop="1" thickBot="1" x14ac:dyDescent="0.3">
      <c r="A568" s="1646" t="e">
        <f>#REF!</f>
        <v>#REF!</v>
      </c>
      <c r="B568" s="1647" t="e">
        <f>#REF!</f>
        <v>#REF!</v>
      </c>
      <c r="C568" s="1629"/>
      <c r="D568" s="1629"/>
      <c r="E568" s="1639"/>
      <c r="F568" s="1639"/>
      <c r="G568" s="1639"/>
      <c r="H568" s="1639"/>
      <c r="I568" s="1639">
        <v>22</v>
      </c>
      <c r="J568" s="1639">
        <f>SUM(I568:I568)</f>
        <v>22</v>
      </c>
      <c r="K568" s="1640">
        <f t="shared" si="164"/>
        <v>1.05</v>
      </c>
      <c r="L568" s="1640">
        <f t="shared" ref="L568" si="177">K568*J568</f>
        <v>23.1</v>
      </c>
      <c r="M568" s="1641">
        <f t="shared" ref="M568" si="178">ROUND(L568,1)</f>
        <v>23.1</v>
      </c>
      <c r="N568" s="1642">
        <f t="shared" ref="N568" si="179">ROUNDUP(M568,0)</f>
        <v>24</v>
      </c>
      <c r="O568" s="1639" t="s">
        <v>692</v>
      </c>
      <c r="P568" s="1648"/>
      <c r="Q568" s="1648"/>
      <c r="R568" s="1649" t="e">
        <f>#REF!-70</f>
        <v>#REF!</v>
      </c>
      <c r="S568" s="1649"/>
      <c r="T568" s="1649"/>
      <c r="U568" s="1649"/>
      <c r="V568" s="1649"/>
    </row>
    <row r="569" spans="1:22" s="1650" customFormat="1" ht="15" thickTop="1" thickBot="1" x14ac:dyDescent="0.3">
      <c r="A569" s="1646"/>
      <c r="B569" s="1647"/>
      <c r="C569" s="1629"/>
      <c r="D569" s="1629"/>
      <c r="E569" s="1639"/>
      <c r="F569" s="1639"/>
      <c r="G569" s="1639"/>
      <c r="H569" s="1639"/>
      <c r="I569" s="1639"/>
      <c r="J569" s="1639"/>
      <c r="K569" s="1640"/>
      <c r="L569" s="1640"/>
      <c r="M569" s="1641"/>
      <c r="N569" s="1642"/>
      <c r="O569" s="1639"/>
      <c r="P569" s="1648"/>
      <c r="Q569" s="1648"/>
      <c r="R569" s="1649"/>
      <c r="S569" s="1649"/>
      <c r="T569" s="1649"/>
      <c r="U569" s="1649"/>
      <c r="V569" s="1649"/>
    </row>
    <row r="570" spans="1:22" s="1650" customFormat="1" ht="15" thickTop="1" thickBot="1" x14ac:dyDescent="0.3">
      <c r="A570" s="1646" t="e">
        <f>#REF!</f>
        <v>#REF!</v>
      </c>
      <c r="B570" s="1647" t="e">
        <f>#REF!</f>
        <v>#REF!</v>
      </c>
      <c r="C570" s="1629"/>
      <c r="D570" s="1629"/>
      <c r="E570" s="1639"/>
      <c r="F570" s="1639"/>
      <c r="G570" s="1639"/>
      <c r="H570" s="1639"/>
      <c r="I570" s="1639">
        <v>3.95</v>
      </c>
      <c r="J570" s="1639"/>
      <c r="K570" s="1640"/>
      <c r="L570" s="1640"/>
      <c r="M570" s="1641"/>
      <c r="N570" s="1642"/>
      <c r="O570" s="1639"/>
      <c r="P570" s="1648"/>
      <c r="Q570" s="1648"/>
      <c r="R570" s="1649"/>
      <c r="S570" s="1649"/>
      <c r="T570" s="1649"/>
      <c r="U570" s="1649"/>
      <c r="V570" s="1649"/>
    </row>
    <row r="571" spans="1:22" s="1650" customFormat="1" ht="15" thickTop="1" thickBot="1" x14ac:dyDescent="0.3">
      <c r="A571" s="1646"/>
      <c r="B571" s="1647"/>
      <c r="C571" s="1629"/>
      <c r="D571" s="1629"/>
      <c r="E571" s="1639"/>
      <c r="F571" s="1639"/>
      <c r="G571" s="1639"/>
      <c r="H571" s="1639"/>
      <c r="I571" s="1639">
        <v>2.35</v>
      </c>
      <c r="J571" s="1639"/>
      <c r="K571" s="1640"/>
      <c r="L571" s="1640"/>
      <c r="M571" s="1641"/>
      <c r="N571" s="1642"/>
      <c r="O571" s="1639"/>
      <c r="P571" s="1648"/>
      <c r="Q571" s="1648"/>
      <c r="R571" s="1649"/>
      <c r="S571" s="1649"/>
      <c r="T571" s="1649"/>
      <c r="U571" s="1649"/>
      <c r="V571" s="1649"/>
    </row>
    <row r="572" spans="1:22" s="1650" customFormat="1" ht="15" thickTop="1" thickBot="1" x14ac:dyDescent="0.3">
      <c r="A572" s="1646"/>
      <c r="B572" s="1647"/>
      <c r="C572" s="1629"/>
      <c r="D572" s="1629"/>
      <c r="E572" s="1639"/>
      <c r="F572" s="1639"/>
      <c r="G572" s="1639"/>
      <c r="H572" s="1639"/>
      <c r="I572" s="1639">
        <v>3.5</v>
      </c>
      <c r="J572" s="1624">
        <f>SUM(I570:I572)</f>
        <v>9.8000000000000007</v>
      </c>
      <c r="K572" s="1643">
        <f t="shared" ref="K572" si="180">$K$2</f>
        <v>1.05</v>
      </c>
      <c r="L572" s="1643">
        <f t="shared" ref="L572" si="181">K572*J572</f>
        <v>10.290000000000001</v>
      </c>
      <c r="M572" s="1634">
        <f t="shared" ref="M572" si="182">ROUND(L572,1)</f>
        <v>10.3</v>
      </c>
      <c r="N572" s="1644">
        <f t="shared" ref="N572" si="183">ROUNDUP(M572,0)</f>
        <v>11</v>
      </c>
      <c r="O572" s="1624" t="s">
        <v>1293</v>
      </c>
      <c r="P572" s="1648"/>
      <c r="Q572" s="1648"/>
      <c r="R572" s="1649"/>
      <c r="S572" s="1649"/>
      <c r="T572" s="1649"/>
      <c r="U572" s="1649"/>
      <c r="V572" s="1649"/>
    </row>
    <row r="573" spans="1:22" ht="15" thickTop="1" thickBot="1" x14ac:dyDescent="0.3">
      <c r="A573" s="937"/>
      <c r="B573" s="938"/>
      <c r="C573" s="938"/>
      <c r="D573" s="938"/>
      <c r="E573" s="1624"/>
      <c r="F573" s="1624"/>
      <c r="G573" s="1624"/>
      <c r="H573" s="1624"/>
      <c r="I573" s="1624"/>
      <c r="J573" s="1624"/>
      <c r="K573" s="1643"/>
      <c r="L573" s="1643"/>
      <c r="M573" s="1634"/>
      <c r="N573" s="1644"/>
      <c r="O573" s="1624"/>
      <c r="P573" s="934"/>
      <c r="Q573" s="934"/>
      <c r="R573" s="939"/>
      <c r="S573" s="939"/>
      <c r="T573" s="939"/>
      <c r="U573" s="939"/>
      <c r="V573" s="939"/>
    </row>
    <row r="574" spans="1:22" s="1650" customFormat="1" ht="15" thickTop="1" thickBot="1" x14ac:dyDescent="0.3">
      <c r="A574" s="1646" t="e">
        <f>#REF!</f>
        <v>#REF!</v>
      </c>
      <c r="B574" s="1647" t="e">
        <f>#REF!</f>
        <v>#REF!</v>
      </c>
      <c r="C574" s="1629"/>
      <c r="D574" s="1629"/>
      <c r="E574" s="1639"/>
      <c r="F574" s="1639"/>
      <c r="G574" s="1639"/>
      <c r="H574" s="1639"/>
      <c r="I574" s="1639">
        <v>16.920000000000002</v>
      </c>
      <c r="J574" s="1639"/>
      <c r="K574" s="1640"/>
      <c r="L574" s="1640"/>
      <c r="M574" s="1641"/>
      <c r="N574" s="1642"/>
      <c r="O574" s="1639"/>
      <c r="P574" s="1648"/>
      <c r="Q574" s="1648"/>
      <c r="R574" s="1649"/>
      <c r="S574" s="1649"/>
      <c r="T574" s="1649"/>
      <c r="U574" s="1649"/>
      <c r="V574" s="1649"/>
    </row>
    <row r="575" spans="1:22" ht="15" thickTop="1" thickBot="1" x14ac:dyDescent="0.3">
      <c r="A575" s="937"/>
      <c r="B575" s="938"/>
      <c r="C575" s="938"/>
      <c r="D575" s="938"/>
      <c r="E575" s="1624"/>
      <c r="F575" s="1624"/>
      <c r="G575" s="1624"/>
      <c r="H575" s="1639"/>
      <c r="I575" s="1639">
        <v>16.78</v>
      </c>
      <c r="J575" s="1624"/>
      <c r="K575" s="1643"/>
      <c r="L575" s="1643"/>
      <c r="M575" s="1634"/>
      <c r="N575" s="1644"/>
      <c r="O575" s="1624"/>
      <c r="P575" s="934"/>
      <c r="Q575" s="934"/>
      <c r="R575" s="939"/>
      <c r="S575" s="939"/>
      <c r="T575" s="939"/>
      <c r="U575" s="939"/>
      <c r="V575" s="939"/>
    </row>
    <row r="576" spans="1:22" ht="15" thickTop="1" thickBot="1" x14ac:dyDescent="0.3">
      <c r="A576" s="937"/>
      <c r="B576" s="938"/>
      <c r="C576" s="938"/>
      <c r="D576" s="938"/>
      <c r="E576" s="1624"/>
      <c r="F576" s="1624"/>
      <c r="G576" s="1624"/>
      <c r="H576" s="1639"/>
      <c r="I576" s="1639">
        <v>12.47</v>
      </c>
      <c r="J576" s="1624">
        <f>SUM(I574:I576)</f>
        <v>46.17</v>
      </c>
      <c r="K576" s="1643">
        <f t="shared" ref="K576:K585" si="184">$K$2</f>
        <v>1.05</v>
      </c>
      <c r="L576" s="1643">
        <f t="shared" si="165"/>
        <v>48.478500000000004</v>
      </c>
      <c r="M576" s="1634">
        <f t="shared" si="166"/>
        <v>48.5</v>
      </c>
      <c r="N576" s="1644">
        <f t="shared" si="167"/>
        <v>49</v>
      </c>
      <c r="O576" s="1639" t="s">
        <v>692</v>
      </c>
      <c r="P576" s="934"/>
      <c r="Q576" s="934"/>
      <c r="R576" s="939"/>
      <c r="S576" s="939"/>
      <c r="T576" s="939"/>
      <c r="U576" s="939"/>
      <c r="V576" s="939"/>
    </row>
    <row r="577" spans="1:22" ht="15" thickTop="1" thickBot="1" x14ac:dyDescent="0.3">
      <c r="A577" s="937"/>
      <c r="B577" s="938"/>
      <c r="C577" s="938"/>
      <c r="D577" s="938"/>
      <c r="E577" s="1624"/>
      <c r="F577" s="1624"/>
      <c r="G577" s="1624"/>
      <c r="H577" s="1639"/>
      <c r="I577" s="1639"/>
      <c r="J577" s="1624"/>
      <c r="K577" s="1643"/>
      <c r="L577" s="1643"/>
      <c r="M577" s="1634"/>
      <c r="N577" s="1644"/>
      <c r="O577" s="1639"/>
      <c r="P577" s="934"/>
      <c r="Q577" s="934"/>
      <c r="R577" s="939"/>
      <c r="S577" s="939"/>
      <c r="T577" s="939"/>
      <c r="U577" s="939"/>
      <c r="V577" s="939"/>
    </row>
    <row r="578" spans="1:22" ht="15" thickTop="1" thickBot="1" x14ac:dyDescent="0.3">
      <c r="A578" s="937" t="e">
        <f>#REF!</f>
        <v>#REF!</v>
      </c>
      <c r="B578" s="1647" t="e">
        <f>#REF!</f>
        <v>#REF!</v>
      </c>
      <c r="C578" s="938"/>
      <c r="D578" s="938"/>
      <c r="E578" s="1624"/>
      <c r="F578" s="1624"/>
      <c r="G578" s="1624"/>
      <c r="H578" s="1639"/>
      <c r="I578" s="1639">
        <v>18.5</v>
      </c>
      <c r="J578" s="1624"/>
      <c r="K578" s="1643"/>
      <c r="L578" s="1643"/>
      <c r="M578" s="1634"/>
      <c r="N578" s="1644"/>
      <c r="O578" s="1639"/>
      <c r="P578" s="934"/>
      <c r="Q578" s="934"/>
      <c r="R578" s="939"/>
      <c r="S578" s="939"/>
      <c r="T578" s="939"/>
      <c r="U578" s="939"/>
      <c r="V578" s="939"/>
    </row>
    <row r="579" spans="1:22" ht="15" thickTop="1" thickBot="1" x14ac:dyDescent="0.3">
      <c r="A579" s="937"/>
      <c r="B579" s="938"/>
      <c r="C579" s="938"/>
      <c r="D579" s="938"/>
      <c r="E579" s="1624"/>
      <c r="F579" s="1624"/>
      <c r="G579" s="1624"/>
      <c r="H579" s="1639"/>
      <c r="I579" s="1639">
        <v>15.3</v>
      </c>
      <c r="J579" s="1624"/>
      <c r="K579" s="1643"/>
      <c r="L579" s="1643"/>
      <c r="M579" s="1634"/>
      <c r="N579" s="1644"/>
      <c r="O579" s="1639"/>
      <c r="P579" s="934"/>
      <c r="Q579" s="934"/>
      <c r="R579" s="939"/>
      <c r="S579" s="939"/>
      <c r="T579" s="939"/>
      <c r="U579" s="939"/>
      <c r="V579" s="939"/>
    </row>
    <row r="580" spans="1:22" ht="15" thickTop="1" thickBot="1" x14ac:dyDescent="0.3">
      <c r="A580" s="937"/>
      <c r="B580" s="938"/>
      <c r="C580" s="938"/>
      <c r="D580" s="938"/>
      <c r="E580" s="1624"/>
      <c r="F580" s="1624"/>
      <c r="G580" s="1624"/>
      <c r="H580" s="1639"/>
      <c r="I580" s="1639">
        <v>11.2</v>
      </c>
      <c r="J580" s="1624">
        <f>SUM(I578:I580)</f>
        <v>45</v>
      </c>
      <c r="K580" s="1643">
        <f t="shared" ref="K580" si="185">$K$2</f>
        <v>1.05</v>
      </c>
      <c r="L580" s="1643">
        <f t="shared" ref="L580" si="186">K580*J580</f>
        <v>47.25</v>
      </c>
      <c r="M580" s="1634">
        <f t="shared" ref="M580" si="187">ROUND(L580,1)</f>
        <v>47.3</v>
      </c>
      <c r="N580" s="1644">
        <f t="shared" ref="N580" si="188">ROUNDUP(M580,0)</f>
        <v>48</v>
      </c>
      <c r="O580" s="1624" t="s">
        <v>1293</v>
      </c>
      <c r="P580" s="934"/>
      <c r="Q580" s="934"/>
      <c r="R580" s="939"/>
      <c r="S580" s="939"/>
      <c r="T580" s="939"/>
      <c r="U580" s="939"/>
      <c r="V580" s="939"/>
    </row>
    <row r="581" spans="1:22" ht="15" thickTop="1" thickBot="1" x14ac:dyDescent="0.3">
      <c r="A581" s="937"/>
      <c r="B581" s="938"/>
      <c r="C581" s="938"/>
      <c r="D581" s="938"/>
      <c r="E581" s="1624"/>
      <c r="F581" s="1624"/>
      <c r="G581" s="1624"/>
      <c r="H581" s="1624"/>
      <c r="I581" s="1624"/>
      <c r="J581" s="1624"/>
      <c r="K581" s="1643"/>
      <c r="L581" s="1643"/>
      <c r="M581" s="1634"/>
      <c r="N581" s="1644"/>
      <c r="O581" s="1624"/>
      <c r="P581" s="934"/>
      <c r="Q581" s="934"/>
      <c r="R581" s="939"/>
      <c r="S581" s="939"/>
      <c r="T581" s="939"/>
      <c r="U581" s="939"/>
      <c r="V581" s="939"/>
    </row>
    <row r="582" spans="1:22" s="1650" customFormat="1" ht="15" thickTop="1" thickBot="1" x14ac:dyDescent="0.3">
      <c r="A582" s="1646" t="e">
        <f>#REF!</f>
        <v>#REF!</v>
      </c>
      <c r="B582" s="1647" t="e">
        <f>#REF!</f>
        <v>#REF!</v>
      </c>
      <c r="C582" s="1629"/>
      <c r="D582" s="1629"/>
      <c r="E582" s="1639"/>
      <c r="F582" s="1639"/>
      <c r="G582" s="1639"/>
      <c r="H582" s="1639"/>
      <c r="I582" s="1639">
        <v>3.2</v>
      </c>
      <c r="J582" s="1639"/>
      <c r="K582" s="1640"/>
      <c r="L582" s="1640"/>
      <c r="M582" s="1641"/>
      <c r="N582" s="1642"/>
      <c r="O582" s="1639"/>
      <c r="P582" s="1648"/>
      <c r="Q582" s="1648"/>
      <c r="R582" s="1649"/>
      <c r="S582" s="1649"/>
      <c r="T582" s="1649"/>
      <c r="U582" s="1649"/>
      <c r="V582" s="1649"/>
    </row>
    <row r="583" spans="1:22" ht="15" thickTop="1" thickBot="1" x14ac:dyDescent="0.3">
      <c r="A583" s="937"/>
      <c r="B583" s="938"/>
      <c r="C583" s="938"/>
      <c r="D583" s="938"/>
      <c r="E583" s="1624"/>
      <c r="F583" s="1624"/>
      <c r="G583" s="1624"/>
      <c r="H583" s="1639"/>
      <c r="I583" s="1639">
        <v>3.2</v>
      </c>
      <c r="J583" s="1624"/>
      <c r="K583" s="1643"/>
      <c r="L583" s="1643"/>
      <c r="M583" s="1634"/>
      <c r="N583" s="1644"/>
      <c r="O583" s="1624"/>
      <c r="P583" s="934"/>
      <c r="Q583" s="934"/>
      <c r="R583" s="939"/>
      <c r="S583" s="939"/>
      <c r="T583" s="939"/>
      <c r="U583" s="939"/>
      <c r="V583" s="939"/>
    </row>
    <row r="584" spans="1:22" ht="15" thickTop="1" thickBot="1" x14ac:dyDescent="0.3">
      <c r="A584" s="937"/>
      <c r="B584" s="938"/>
      <c r="C584" s="938"/>
      <c r="D584" s="938"/>
      <c r="E584" s="1624"/>
      <c r="F584" s="1624"/>
      <c r="G584" s="1624"/>
      <c r="H584" s="1639"/>
      <c r="I584" s="1639">
        <v>4.5</v>
      </c>
      <c r="J584" s="1624"/>
      <c r="K584" s="1643"/>
      <c r="L584" s="1643"/>
      <c r="M584" s="1634"/>
      <c r="N584" s="1644"/>
      <c r="O584" s="1624"/>
      <c r="P584" s="934"/>
      <c r="Q584" s="934"/>
      <c r="R584" s="939"/>
      <c r="S584" s="939"/>
      <c r="T584" s="939"/>
      <c r="U584" s="939"/>
      <c r="V584" s="939"/>
    </row>
    <row r="585" spans="1:22" ht="15" thickTop="1" thickBot="1" x14ac:dyDescent="0.3">
      <c r="A585" s="937"/>
      <c r="B585" s="938"/>
      <c r="C585" s="938"/>
      <c r="D585" s="938"/>
      <c r="E585" s="1624"/>
      <c r="F585" s="1624"/>
      <c r="G585" s="1624"/>
      <c r="H585" s="1639"/>
      <c r="I585" s="1639"/>
      <c r="J585" s="1624">
        <f>SUM(I582:I585)</f>
        <v>10.9</v>
      </c>
      <c r="K585" s="1643">
        <f t="shared" si="184"/>
        <v>1.05</v>
      </c>
      <c r="L585" s="1643">
        <f t="shared" si="165"/>
        <v>11.445</v>
      </c>
      <c r="M585" s="1634">
        <f t="shared" si="166"/>
        <v>11.4</v>
      </c>
      <c r="N585" s="1644">
        <f t="shared" si="167"/>
        <v>12</v>
      </c>
      <c r="O585" s="1639" t="s">
        <v>692</v>
      </c>
      <c r="P585" s="934"/>
      <c r="Q585" s="934"/>
      <c r="R585" s="939"/>
      <c r="S585" s="939"/>
      <c r="T585" s="939"/>
      <c r="U585" s="939"/>
      <c r="V585" s="939"/>
    </row>
    <row r="586" spans="1:22" ht="15" thickTop="1" thickBot="1" x14ac:dyDescent="0.3">
      <c r="A586" s="937" t="e">
        <f>#REF!</f>
        <v>#REF!</v>
      </c>
      <c r="B586" s="1647" t="e">
        <f>#REF!</f>
        <v>#REF!</v>
      </c>
      <c r="C586" s="938"/>
      <c r="D586" s="938"/>
      <c r="E586" s="1624"/>
      <c r="F586" s="1624"/>
      <c r="G586" s="1624"/>
      <c r="H586" s="1639"/>
      <c r="I586" s="1639">
        <v>13.6</v>
      </c>
      <c r="J586" s="1624"/>
      <c r="K586" s="1643"/>
      <c r="L586" s="1643"/>
      <c r="M586" s="1634"/>
      <c r="N586" s="1644"/>
      <c r="O586" s="1639"/>
      <c r="P586" s="934"/>
      <c r="Q586" s="934"/>
      <c r="R586" s="939"/>
      <c r="S586" s="939"/>
      <c r="T586" s="939"/>
      <c r="U586" s="939"/>
      <c r="V586" s="939"/>
    </row>
    <row r="587" spans="1:22" ht="15" thickTop="1" thickBot="1" x14ac:dyDescent="0.3">
      <c r="A587" s="937"/>
      <c r="B587" s="938"/>
      <c r="C587" s="938"/>
      <c r="D587" s="938"/>
      <c r="E587" s="1624"/>
      <c r="F587" s="1624"/>
      <c r="G587" s="1624"/>
      <c r="H587" s="1639"/>
      <c r="I587" s="1639">
        <v>3.33</v>
      </c>
      <c r="J587" s="1624"/>
      <c r="K587" s="1643"/>
      <c r="L587" s="1643"/>
      <c r="M587" s="1634"/>
      <c r="N587" s="1644"/>
      <c r="O587" s="1639"/>
      <c r="P587" s="934"/>
      <c r="Q587" s="934"/>
      <c r="R587" s="939"/>
      <c r="S587" s="939"/>
      <c r="T587" s="939"/>
      <c r="U587" s="939"/>
      <c r="V587" s="939"/>
    </row>
    <row r="588" spans="1:22" ht="15" thickTop="1" thickBot="1" x14ac:dyDescent="0.3">
      <c r="A588" s="937"/>
      <c r="B588" s="938"/>
      <c r="C588" s="938"/>
      <c r="D588" s="938"/>
      <c r="E588" s="1624"/>
      <c r="F588" s="1624"/>
      <c r="G588" s="1624"/>
      <c r="H588" s="1639"/>
      <c r="I588" s="1639">
        <v>2.75</v>
      </c>
      <c r="J588" s="1624"/>
      <c r="K588" s="1643"/>
      <c r="L588" s="1643"/>
      <c r="M588" s="1634"/>
      <c r="N588" s="1644"/>
      <c r="O588" s="1639"/>
      <c r="P588" s="934"/>
      <c r="Q588" s="934"/>
      <c r="R588" s="939"/>
      <c r="S588" s="939"/>
      <c r="T588" s="939"/>
      <c r="U588" s="939"/>
      <c r="V588" s="939"/>
    </row>
    <row r="589" spans="1:22" ht="15" thickTop="1" thickBot="1" x14ac:dyDescent="0.3">
      <c r="A589" s="937"/>
      <c r="B589" s="938"/>
      <c r="C589" s="938"/>
      <c r="D589" s="938"/>
      <c r="E589" s="1624"/>
      <c r="F589" s="1624"/>
      <c r="G589" s="1624"/>
      <c r="H589" s="1639"/>
      <c r="I589" s="1639">
        <v>2.4500000000000002</v>
      </c>
      <c r="J589" s="1624"/>
      <c r="K589" s="1643"/>
      <c r="L589" s="1643"/>
      <c r="M589" s="1634"/>
      <c r="N589" s="1644"/>
      <c r="O589" s="1639"/>
      <c r="P589" s="934"/>
      <c r="Q589" s="934"/>
      <c r="R589" s="939"/>
      <c r="S589" s="939"/>
      <c r="T589" s="939"/>
      <c r="U589" s="939"/>
      <c r="V589" s="939"/>
    </row>
    <row r="590" spans="1:22" ht="15" thickTop="1" thickBot="1" x14ac:dyDescent="0.3">
      <c r="A590" s="937"/>
      <c r="B590" s="938"/>
      <c r="C590" s="938"/>
      <c r="D590" s="938"/>
      <c r="E590" s="1624"/>
      <c r="F590" s="1624"/>
      <c r="G590" s="1624"/>
      <c r="H590" s="1639"/>
      <c r="I590" s="1639">
        <v>2.4500000000000002</v>
      </c>
      <c r="J590" s="1624">
        <f>SUM(I586:I590)</f>
        <v>24.58</v>
      </c>
      <c r="K590" s="1643">
        <f t="shared" ref="K590:K592" si="189">$K$2</f>
        <v>1.05</v>
      </c>
      <c r="L590" s="1643">
        <f t="shared" ref="L590" si="190">K590*J590</f>
        <v>25.809000000000001</v>
      </c>
      <c r="M590" s="1634">
        <f t="shared" ref="M590" si="191">ROUND(L590,1)</f>
        <v>25.8</v>
      </c>
      <c r="N590" s="1644">
        <f t="shared" ref="N590" si="192">ROUNDUP(M590,0)</f>
        <v>26</v>
      </c>
      <c r="O590" s="1639" t="s">
        <v>692</v>
      </c>
      <c r="P590" s="934"/>
      <c r="Q590" s="934"/>
      <c r="R590" s="939"/>
      <c r="S590" s="939"/>
      <c r="T590" s="939"/>
      <c r="U590" s="939"/>
      <c r="V590" s="939"/>
    </row>
    <row r="591" spans="1:22" ht="15" thickTop="1" thickBot="1" x14ac:dyDescent="0.3">
      <c r="A591" s="937"/>
      <c r="B591" s="938"/>
      <c r="C591" s="938"/>
      <c r="D591" s="938"/>
      <c r="E591" s="1624"/>
      <c r="F591" s="1624"/>
      <c r="G591" s="1624"/>
      <c r="H591" s="1639"/>
      <c r="I591" s="1639"/>
      <c r="J591" s="1624"/>
      <c r="K591" s="1643"/>
      <c r="L591" s="1643"/>
      <c r="M591" s="1634"/>
      <c r="N591" s="1644"/>
      <c r="O591" s="1639"/>
      <c r="P591" s="934"/>
      <c r="Q591" s="934"/>
      <c r="R591" s="939"/>
      <c r="S591" s="939"/>
      <c r="T591" s="939"/>
      <c r="U591" s="939"/>
      <c r="V591" s="939"/>
    </row>
    <row r="592" spans="1:22" ht="15" thickTop="1" thickBot="1" x14ac:dyDescent="0.3">
      <c r="A592" s="937" t="e">
        <f>#REF!</f>
        <v>#REF!</v>
      </c>
      <c r="B592" s="1647" t="e">
        <f>#REF!</f>
        <v>#REF!</v>
      </c>
      <c r="C592" s="938"/>
      <c r="D592" s="938"/>
      <c r="E592" s="1624"/>
      <c r="F592" s="1624"/>
      <c r="G592" s="1624"/>
      <c r="H592" s="1639"/>
      <c r="I592" s="1639">
        <v>18.600000000000001</v>
      </c>
      <c r="J592" s="1624">
        <f>SUM(I592)</f>
        <v>18.600000000000001</v>
      </c>
      <c r="K592" s="1643">
        <f t="shared" si="189"/>
        <v>1.05</v>
      </c>
      <c r="L592" s="1643">
        <f t="shared" ref="L592" si="193">K592*J592</f>
        <v>19.53</v>
      </c>
      <c r="M592" s="1634">
        <f t="shared" ref="M592" si="194">ROUND(L592,1)</f>
        <v>19.5</v>
      </c>
      <c r="N592" s="1644">
        <f t="shared" ref="N592" si="195">ROUNDUP(M592,0)</f>
        <v>20</v>
      </c>
      <c r="O592" s="1639" t="s">
        <v>692</v>
      </c>
      <c r="P592" s="934"/>
      <c r="Q592" s="934"/>
      <c r="R592" s="939"/>
      <c r="S592" s="939"/>
      <c r="T592" s="939"/>
      <c r="U592" s="939"/>
      <c r="V592" s="939"/>
    </row>
    <row r="593" spans="1:22" ht="15" thickTop="1" thickBot="1" x14ac:dyDescent="0.3">
      <c r="A593" s="937"/>
      <c r="B593" s="938"/>
      <c r="C593" s="938"/>
      <c r="D593" s="938"/>
      <c r="E593" s="1624"/>
      <c r="F593" s="1624"/>
      <c r="G593" s="1624"/>
      <c r="H593" s="1639"/>
      <c r="I593" s="1639"/>
      <c r="J593" s="1624"/>
      <c r="K593" s="1643"/>
      <c r="L593" s="1643"/>
      <c r="M593" s="1634"/>
      <c r="N593" s="1644"/>
      <c r="O593" s="1639"/>
      <c r="P593" s="934"/>
      <c r="Q593" s="934"/>
      <c r="R593" s="939"/>
      <c r="S593" s="939"/>
      <c r="T593" s="939"/>
      <c r="U593" s="939"/>
      <c r="V593" s="939"/>
    </row>
    <row r="594" spans="1:22" ht="15" thickTop="1" thickBot="1" x14ac:dyDescent="0.3">
      <c r="A594" s="937"/>
      <c r="B594" s="938"/>
      <c r="C594" s="938"/>
      <c r="D594" s="938"/>
      <c r="E594" s="1624"/>
      <c r="F594" s="1624"/>
      <c r="G594" s="1624"/>
      <c r="H594" s="1639"/>
      <c r="I594" s="1639"/>
      <c r="J594" s="1624"/>
      <c r="K594" s="1643"/>
      <c r="L594" s="1643"/>
      <c r="M594" s="1634"/>
      <c r="N594" s="1644"/>
      <c r="O594" s="1639"/>
      <c r="P594" s="934"/>
      <c r="Q594" s="934"/>
      <c r="R594" s="939"/>
      <c r="S594" s="939"/>
      <c r="T594" s="939"/>
      <c r="U594" s="939"/>
      <c r="V594" s="939"/>
    </row>
    <row r="595" spans="1:22" ht="15" thickTop="1" thickBot="1" x14ac:dyDescent="0.3">
      <c r="A595" s="937" t="e">
        <f>#REF!</f>
        <v>#REF!</v>
      </c>
      <c r="B595" s="1647" t="e">
        <f>#REF!</f>
        <v>#REF!</v>
      </c>
      <c r="C595" s="938"/>
      <c r="D595" s="938"/>
      <c r="E595" s="1624"/>
      <c r="F595" s="1624"/>
      <c r="G595" s="1624"/>
      <c r="H595" s="1639"/>
      <c r="I595" s="1639">
        <v>4.5</v>
      </c>
      <c r="J595" s="1624">
        <f>SUM(I595)</f>
        <v>4.5</v>
      </c>
      <c r="K595" s="1643">
        <f t="shared" ref="K595" si="196">$K$2</f>
        <v>1.05</v>
      </c>
      <c r="L595" s="1643">
        <f t="shared" ref="L595" si="197">K595*J595</f>
        <v>4.7250000000000005</v>
      </c>
      <c r="M595" s="1634">
        <f t="shared" ref="M595" si="198">ROUND(L595,1)</f>
        <v>4.7</v>
      </c>
      <c r="N595" s="1644">
        <f t="shared" ref="N595" si="199">ROUNDUP(M595,0)</f>
        <v>5</v>
      </c>
      <c r="O595" s="1639" t="s">
        <v>101</v>
      </c>
      <c r="P595" s="934"/>
      <c r="Q595" s="934"/>
      <c r="R595" s="939"/>
      <c r="S595" s="939"/>
      <c r="T595" s="939"/>
      <c r="U595" s="939"/>
      <c r="V595" s="939"/>
    </row>
    <row r="596" spans="1:22" ht="15" thickTop="1" thickBot="1" x14ac:dyDescent="0.3">
      <c r="A596" s="937"/>
      <c r="B596" s="938"/>
      <c r="C596" s="938"/>
      <c r="D596" s="938"/>
      <c r="E596" s="1624"/>
      <c r="F596" s="1624"/>
      <c r="G596" s="1624"/>
      <c r="H596" s="1624"/>
      <c r="I596" s="1624"/>
      <c r="J596" s="1624"/>
      <c r="K596" s="1643"/>
      <c r="L596" s="1643"/>
      <c r="M596" s="1634"/>
      <c r="N596" s="1644"/>
      <c r="O596" s="1624"/>
      <c r="P596" s="934"/>
      <c r="Q596" s="934"/>
      <c r="R596" s="939"/>
      <c r="S596" s="939"/>
      <c r="T596" s="939"/>
      <c r="U596" s="939"/>
      <c r="V596" s="939"/>
    </row>
    <row r="597" spans="1:22" s="1650" customFormat="1" ht="15" thickTop="1" thickBot="1" x14ac:dyDescent="0.3">
      <c r="A597" s="1646" t="e">
        <f>#REF!</f>
        <v>#REF!</v>
      </c>
      <c r="B597" s="1647" t="e">
        <f>#REF!</f>
        <v>#REF!</v>
      </c>
      <c r="C597" s="1629"/>
      <c r="D597" s="1629"/>
      <c r="E597" s="1639"/>
      <c r="F597" s="1639"/>
      <c r="G597" s="1639"/>
      <c r="H597" s="1639"/>
      <c r="I597" s="1639"/>
      <c r="J597" s="1639"/>
      <c r="K597" s="1640"/>
      <c r="L597" s="1640"/>
      <c r="M597" s="1641"/>
      <c r="N597" s="1642"/>
      <c r="O597" s="1639"/>
      <c r="P597" s="1648"/>
      <c r="Q597" s="1648"/>
      <c r="R597" s="1649"/>
      <c r="S597" s="1649"/>
      <c r="T597" s="1649"/>
      <c r="U597" s="1649"/>
      <c r="V597" s="1649"/>
    </row>
    <row r="598" spans="1:22" ht="15" thickTop="1" thickBot="1" x14ac:dyDescent="0.3">
      <c r="A598" s="937"/>
      <c r="B598" s="938"/>
      <c r="C598" s="938"/>
      <c r="D598" s="938"/>
      <c r="E598" s="1624"/>
      <c r="F598" s="1624"/>
      <c r="G598" s="1624"/>
      <c r="H598" s="1639"/>
      <c r="I598" s="1639">
        <v>3.5</v>
      </c>
      <c r="J598" s="1624">
        <f>SUM(I597:I598)</f>
        <v>3.5</v>
      </c>
      <c r="K598" s="1643">
        <f t="shared" ref="K598:K605" si="200">$K$2</f>
        <v>1.05</v>
      </c>
      <c r="L598" s="1643">
        <f t="shared" si="165"/>
        <v>3.6750000000000003</v>
      </c>
      <c r="M598" s="1634">
        <f t="shared" si="166"/>
        <v>3.7</v>
      </c>
      <c r="N598" s="1644">
        <f t="shared" si="167"/>
        <v>4</v>
      </c>
      <c r="O598" s="1639" t="s">
        <v>692</v>
      </c>
      <c r="P598" s="934">
        <f>SUM(E568:E601)</f>
        <v>0</v>
      </c>
      <c r="Q598" s="934"/>
      <c r="R598" s="939"/>
      <c r="S598" s="939"/>
      <c r="T598" s="939"/>
      <c r="U598" s="939"/>
      <c r="V598" s="939"/>
    </row>
    <row r="599" spans="1:22" ht="15" thickTop="1" thickBot="1" x14ac:dyDescent="0.3">
      <c r="A599" s="937"/>
      <c r="B599" s="938"/>
      <c r="C599" s="938"/>
      <c r="D599" s="938"/>
      <c r="E599" s="1624"/>
      <c r="F599" s="1624"/>
      <c r="G599" s="1624"/>
      <c r="H599" s="1624"/>
      <c r="I599" s="1624"/>
      <c r="J599" s="1624"/>
      <c r="K599" s="1643"/>
      <c r="L599" s="1643"/>
      <c r="M599" s="1634"/>
      <c r="N599" s="1644"/>
      <c r="O599" s="1624"/>
      <c r="P599" s="934"/>
      <c r="Q599" s="934"/>
      <c r="R599" s="939"/>
      <c r="S599" s="939"/>
      <c r="T599" s="939"/>
      <c r="U599" s="939"/>
      <c r="V599" s="939"/>
    </row>
    <row r="600" spans="1:22" s="1650" customFormat="1" ht="15" thickTop="1" thickBot="1" x14ac:dyDescent="0.3">
      <c r="A600" s="1646" t="e">
        <f>#REF!</f>
        <v>#REF!</v>
      </c>
      <c r="B600" s="1647" t="e">
        <f>#REF!</f>
        <v>#REF!</v>
      </c>
      <c r="C600" s="1629"/>
      <c r="D600" s="1629"/>
      <c r="E600" s="1639"/>
      <c r="F600" s="1639"/>
      <c r="G600" s="1639"/>
      <c r="H600" s="1639"/>
      <c r="I600" s="1639">
        <v>3.5</v>
      </c>
      <c r="J600" s="1624">
        <f>SUM(I599:I600)</f>
        <v>3.5</v>
      </c>
      <c r="K600" s="1643">
        <f t="shared" si="200"/>
        <v>1.05</v>
      </c>
      <c r="L600" s="1643">
        <f t="shared" ref="L600" si="201">K600*J600</f>
        <v>3.6750000000000003</v>
      </c>
      <c r="M600" s="1634">
        <f t="shared" ref="M600" si="202">ROUND(L600,1)</f>
        <v>3.7</v>
      </c>
      <c r="N600" s="1644">
        <f t="shared" ref="N600" si="203">ROUNDUP(M600,0)</f>
        <v>4</v>
      </c>
      <c r="O600" s="1639" t="s">
        <v>692</v>
      </c>
      <c r="P600" s="1648"/>
      <c r="Q600" s="1648"/>
      <c r="R600" s="1649"/>
      <c r="S600" s="1649"/>
      <c r="T600" s="1649"/>
      <c r="U600" s="1649"/>
      <c r="V600" s="1649"/>
    </row>
    <row r="601" spans="1:22" ht="15" thickTop="1" thickBot="1" x14ac:dyDescent="0.3">
      <c r="A601" s="937"/>
      <c r="B601" s="938"/>
      <c r="C601" s="938"/>
      <c r="D601" s="938"/>
      <c r="E601" s="1624"/>
      <c r="F601" s="1624"/>
      <c r="G601" s="1624"/>
      <c r="H601" s="1624"/>
      <c r="I601" s="1624"/>
      <c r="J601" s="1624"/>
      <c r="K601" s="1643"/>
      <c r="L601" s="1643"/>
      <c r="M601" s="1634"/>
      <c r="N601" s="1644"/>
      <c r="O601" s="1624"/>
      <c r="P601" s="934"/>
      <c r="Q601" s="934"/>
      <c r="R601" s="939"/>
      <c r="S601" s="939"/>
      <c r="T601" s="939"/>
      <c r="U601" s="939"/>
      <c r="V601" s="939"/>
    </row>
    <row r="602" spans="1:22" s="1650" customFormat="1" ht="15" thickTop="1" thickBot="1" x14ac:dyDescent="0.3">
      <c r="A602" s="1646" t="e">
        <f>#REF!</f>
        <v>#REF!</v>
      </c>
      <c r="B602" s="1647" t="e">
        <f>#REF!</f>
        <v>#REF!</v>
      </c>
      <c r="C602" s="1629"/>
      <c r="D602" s="1629"/>
      <c r="E602" s="1639"/>
      <c r="F602" s="1639"/>
      <c r="G602" s="1639"/>
      <c r="H602" s="1639"/>
      <c r="I602" s="1639">
        <v>75.5</v>
      </c>
      <c r="J602" s="1624"/>
      <c r="K602" s="1643"/>
      <c r="L602" s="1643"/>
      <c r="M602" s="1634"/>
      <c r="N602" s="1644"/>
      <c r="O602" s="1639"/>
      <c r="P602" s="1648"/>
      <c r="Q602" s="1648"/>
      <c r="R602" s="1649"/>
      <c r="S602" s="1649"/>
      <c r="T602" s="1649"/>
      <c r="U602" s="1649"/>
      <c r="V602" s="1649"/>
    </row>
    <row r="603" spans="1:22" ht="15" thickTop="1" thickBot="1" x14ac:dyDescent="0.3">
      <c r="A603" s="937"/>
      <c r="B603" s="938"/>
      <c r="C603" s="938"/>
      <c r="D603" s="938"/>
      <c r="E603" s="1624"/>
      <c r="F603" s="1624"/>
      <c r="G603" s="1624"/>
      <c r="H603" s="1639"/>
      <c r="I603" s="1639">
        <v>3.1</v>
      </c>
      <c r="J603" s="1624">
        <f>SUM(I602:I603)</f>
        <v>78.599999999999994</v>
      </c>
      <c r="K603" s="1643">
        <f t="shared" si="200"/>
        <v>1.05</v>
      </c>
      <c r="L603" s="1643">
        <f t="shared" si="165"/>
        <v>82.53</v>
      </c>
      <c r="M603" s="1634">
        <f t="shared" si="166"/>
        <v>82.5</v>
      </c>
      <c r="N603" s="1644">
        <f t="shared" si="167"/>
        <v>83</v>
      </c>
      <c r="O603" s="1639" t="s">
        <v>692</v>
      </c>
      <c r="P603" s="934"/>
      <c r="Q603" s="934"/>
      <c r="R603" s="939"/>
      <c r="S603" s="939"/>
      <c r="T603" s="939"/>
      <c r="U603" s="939"/>
      <c r="V603" s="939"/>
    </row>
    <row r="604" spans="1:22" ht="15" thickTop="1" thickBot="1" x14ac:dyDescent="0.3">
      <c r="A604" s="937"/>
      <c r="B604" s="938"/>
      <c r="C604" s="938"/>
      <c r="D604" s="938"/>
      <c r="E604" s="1624"/>
      <c r="F604" s="1624"/>
      <c r="G604" s="1624"/>
      <c r="H604" s="1624"/>
      <c r="I604" s="1624"/>
      <c r="J604" s="1624"/>
      <c r="K604" s="1643"/>
      <c r="L604" s="1643"/>
      <c r="M604" s="1634"/>
      <c r="N604" s="1644"/>
      <c r="O604" s="1624"/>
      <c r="P604" s="934"/>
      <c r="Q604" s="934"/>
      <c r="R604" s="939"/>
      <c r="S604" s="939"/>
      <c r="T604" s="939"/>
      <c r="U604" s="939"/>
      <c r="V604" s="939"/>
    </row>
    <row r="605" spans="1:22" s="1650" customFormat="1" ht="15" thickTop="1" thickBot="1" x14ac:dyDescent="0.3">
      <c r="A605" s="1646" t="e">
        <f>#REF!</f>
        <v>#REF!</v>
      </c>
      <c r="B605" s="1647" t="e">
        <f>#REF!</f>
        <v>#REF!</v>
      </c>
      <c r="C605" s="1629"/>
      <c r="D605" s="1629"/>
      <c r="E605" s="1639"/>
      <c r="F605" s="1639"/>
      <c r="G605" s="1639"/>
      <c r="H605" s="1639"/>
      <c r="I605" s="1639">
        <v>49</v>
      </c>
      <c r="J605" s="1624">
        <f>SUM(I604:I605)</f>
        <v>49</v>
      </c>
      <c r="K605" s="1643">
        <f t="shared" si="200"/>
        <v>1.05</v>
      </c>
      <c r="L605" s="1643">
        <f t="shared" ref="L605" si="204">K605*J605</f>
        <v>51.45</v>
      </c>
      <c r="M605" s="1634">
        <f t="shared" ref="M605" si="205">ROUND(L605,1)</f>
        <v>51.5</v>
      </c>
      <c r="N605" s="1644">
        <f t="shared" ref="N605" si="206">ROUNDUP(M605,0)</f>
        <v>52</v>
      </c>
      <c r="O605" s="1639" t="s">
        <v>692</v>
      </c>
      <c r="P605" s="1648"/>
      <c r="Q605" s="1648"/>
      <c r="R605" s="1649"/>
      <c r="S605" s="1649"/>
      <c r="T605" s="1649"/>
      <c r="U605" s="1649"/>
      <c r="V605" s="1649"/>
    </row>
    <row r="606" spans="1:22" ht="15" thickTop="1" thickBot="1" x14ac:dyDescent="0.3">
      <c r="A606" s="937"/>
      <c r="B606" s="938"/>
      <c r="C606" s="938"/>
      <c r="D606" s="938"/>
      <c r="E606" s="1624"/>
      <c r="F606" s="1624"/>
      <c r="G606" s="1624"/>
      <c r="H606" s="1624"/>
      <c r="I606" s="1624"/>
      <c r="J606" s="1624"/>
      <c r="K606" s="1643"/>
      <c r="L606" s="1643"/>
      <c r="M606" s="1634"/>
      <c r="N606" s="1644"/>
      <c r="O606" s="1624"/>
      <c r="P606" s="934"/>
      <c r="Q606" s="934"/>
      <c r="R606" s="939"/>
      <c r="S606" s="939"/>
      <c r="T606" s="939"/>
      <c r="U606" s="939"/>
      <c r="V606" s="939"/>
    </row>
    <row r="607" spans="1:22" ht="14.4" thickTop="1" x14ac:dyDescent="0.25"/>
  </sheetData>
  <mergeCells count="1">
    <mergeCell ref="C1:E1"/>
  </mergeCells>
  <pageMargins left="0.7" right="0.7" top="0.75" bottom="0.75" header="0.3" footer="0.3"/>
  <pageSetup scale="58" orientation="portrait" r:id="rId1"/>
  <colBreaks count="1" manualBreakCount="1">
    <brk id="15" max="104857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G5:J7"/>
  <sheetViews>
    <sheetView workbookViewId="0">
      <selection activeCell="M8" sqref="M8"/>
    </sheetView>
  </sheetViews>
  <sheetFormatPr defaultRowHeight="13.2" x14ac:dyDescent="0.25"/>
  <sheetData>
    <row r="5" spans="7:10" x14ac:dyDescent="0.25">
      <c r="H5" s="1667" t="s">
        <v>1919</v>
      </c>
      <c r="J5" s="1667" t="s">
        <v>1920</v>
      </c>
    </row>
    <row r="7" spans="7:10" x14ac:dyDescent="0.25">
      <c r="G7" s="1667" t="s">
        <v>1921</v>
      </c>
      <c r="J7" s="1667" t="s">
        <v>1922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
  <sheetViews>
    <sheetView workbookViewId="0"/>
  </sheetViews>
  <sheetFormatPr defaultRowHeight="13.2" x14ac:dyDescent="0.25"/>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
  <sheetViews>
    <sheetView workbookViewId="0"/>
  </sheetViews>
  <sheetFormatPr defaultRowHeight="13.2" x14ac:dyDescent="0.25"/>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F55"/>
  <sheetViews>
    <sheetView topLeftCell="A38" zoomScale="85" zoomScaleNormal="85" workbookViewId="0">
      <selection activeCell="C68" sqref="C68"/>
    </sheetView>
  </sheetViews>
  <sheetFormatPr defaultColWidth="9.21875" defaultRowHeight="13.8" x14ac:dyDescent="0.25"/>
  <cols>
    <col min="1" max="1" width="8.21875" style="38" customWidth="1"/>
    <col min="2" max="2" width="64.21875" style="36" customWidth="1"/>
    <col min="3" max="3" width="10.77734375" style="39" customWidth="1"/>
    <col min="4" max="4" width="9" style="38" customWidth="1"/>
    <col min="5" max="5" width="12.77734375" style="202" bestFit="1" customWidth="1"/>
    <col min="6" max="6" width="15.77734375" style="39" bestFit="1" customWidth="1"/>
    <col min="7" max="7" width="9.21875" style="24"/>
    <col min="8" max="8" width="12.44140625" style="24" bestFit="1" customWidth="1"/>
    <col min="9" max="9" width="10" style="24" bestFit="1" customWidth="1"/>
    <col min="10" max="10" width="11" style="24" bestFit="1" customWidth="1"/>
    <col min="11" max="12" width="12.88671875" style="24" bestFit="1" customWidth="1"/>
    <col min="13" max="13" width="10.33203125" style="24" bestFit="1" customWidth="1"/>
    <col min="14" max="16384" width="9.21875" style="24"/>
  </cols>
  <sheetData>
    <row r="1" spans="1:6" s="31" customFormat="1" x14ac:dyDescent="0.25">
      <c r="A1" s="2756" t="s">
        <v>126</v>
      </c>
      <c r="B1" s="2757"/>
      <c r="C1" s="2757"/>
      <c r="D1" s="2757"/>
      <c r="E1" s="2757"/>
      <c r="F1" s="2758"/>
    </row>
    <row r="2" spans="1:6" s="31" customFormat="1" ht="14.4" thickBot="1" x14ac:dyDescent="0.3">
      <c r="A2" s="2759"/>
      <c r="B2" s="2760"/>
      <c r="C2" s="2760"/>
      <c r="D2" s="2760"/>
      <c r="E2" s="2760"/>
      <c r="F2" s="2761"/>
    </row>
    <row r="3" spans="1:6" s="31" customFormat="1" ht="14.4" thickBot="1" x14ac:dyDescent="0.3">
      <c r="A3" s="45" t="s">
        <v>0</v>
      </c>
      <c r="B3" s="46" t="s">
        <v>1</v>
      </c>
      <c r="C3" s="47" t="s">
        <v>2</v>
      </c>
      <c r="D3" s="48" t="s">
        <v>3</v>
      </c>
      <c r="E3" s="188" t="s">
        <v>4</v>
      </c>
      <c r="F3" s="49" t="s">
        <v>5</v>
      </c>
    </row>
    <row r="4" spans="1:6" s="12" customFormat="1" ht="28.05" customHeight="1" x14ac:dyDescent="0.25">
      <c r="A4" s="15"/>
      <c r="B4" s="32" t="s">
        <v>191</v>
      </c>
      <c r="C4" s="33"/>
      <c r="D4" s="18"/>
      <c r="E4" s="197"/>
      <c r="F4" s="41"/>
    </row>
    <row r="5" spans="1:6" ht="55.05" customHeight="1" x14ac:dyDescent="0.25">
      <c r="A5" s="21" t="s">
        <v>192</v>
      </c>
      <c r="B5" s="22" t="s">
        <v>352</v>
      </c>
      <c r="C5" s="23"/>
      <c r="D5" s="18"/>
      <c r="E5" s="197"/>
      <c r="F5" s="41"/>
    </row>
    <row r="6" spans="1:6" x14ac:dyDescent="0.25">
      <c r="A6" s="18" t="s">
        <v>461</v>
      </c>
      <c r="B6" s="22" t="s">
        <v>98</v>
      </c>
      <c r="C6" s="23"/>
      <c r="D6" s="18" t="s">
        <v>134</v>
      </c>
      <c r="E6" s="197">
        <v>192</v>
      </c>
      <c r="F6" s="41">
        <f>+C6*E6</f>
        <v>0</v>
      </c>
    </row>
    <row r="7" spans="1:6" x14ac:dyDescent="0.25">
      <c r="A7" s="18" t="s">
        <v>462</v>
      </c>
      <c r="B7" s="22" t="s">
        <v>99</v>
      </c>
      <c r="C7" s="23"/>
      <c r="D7" s="18" t="s">
        <v>134</v>
      </c>
      <c r="E7" s="197">
        <v>192</v>
      </c>
      <c r="F7" s="41">
        <f>+C7*E7</f>
        <v>0</v>
      </c>
    </row>
    <row r="8" spans="1:6" x14ac:dyDescent="0.25">
      <c r="A8" s="21"/>
      <c r="B8" s="22"/>
      <c r="C8" s="23"/>
      <c r="D8" s="18"/>
      <c r="E8" s="197"/>
      <c r="F8" s="41"/>
    </row>
    <row r="9" spans="1:6" ht="41.4" x14ac:dyDescent="0.25">
      <c r="A9" s="21" t="s">
        <v>193</v>
      </c>
      <c r="B9" s="22" t="s">
        <v>133</v>
      </c>
      <c r="C9" s="23"/>
      <c r="D9" s="18"/>
      <c r="E9" s="197"/>
      <c r="F9" s="41"/>
    </row>
    <row r="10" spans="1:6" x14ac:dyDescent="0.25">
      <c r="A10" s="18" t="s">
        <v>463</v>
      </c>
      <c r="B10" s="22" t="s">
        <v>98</v>
      </c>
      <c r="C10" s="23"/>
      <c r="D10" s="18" t="s">
        <v>134</v>
      </c>
      <c r="E10" s="197">
        <v>192</v>
      </c>
      <c r="F10" s="41">
        <f>+C10*E10</f>
        <v>0</v>
      </c>
    </row>
    <row r="11" spans="1:6" x14ac:dyDescent="0.25">
      <c r="A11" s="18" t="s">
        <v>464</v>
      </c>
      <c r="B11" s="22" t="s">
        <v>354</v>
      </c>
      <c r="C11" s="23"/>
      <c r="D11" s="18" t="s">
        <v>134</v>
      </c>
      <c r="E11" s="197">
        <v>192</v>
      </c>
      <c r="F11" s="41">
        <f>+C11*E11</f>
        <v>0</v>
      </c>
    </row>
    <row r="12" spans="1:6" x14ac:dyDescent="0.25">
      <c r="A12" s="21"/>
      <c r="B12" s="22"/>
      <c r="C12" s="23"/>
      <c r="D12" s="18"/>
      <c r="E12" s="197"/>
      <c r="F12" s="41"/>
    </row>
    <row r="13" spans="1:6" ht="55.05" customHeight="1" x14ac:dyDescent="0.25">
      <c r="A13" s="21" t="s">
        <v>195</v>
      </c>
      <c r="B13" s="22" t="s">
        <v>194</v>
      </c>
      <c r="C13" s="23"/>
      <c r="D13" s="18"/>
      <c r="E13" s="197"/>
      <c r="F13" s="41"/>
    </row>
    <row r="14" spans="1:6" x14ac:dyDescent="0.25">
      <c r="A14" s="21" t="s">
        <v>465</v>
      </c>
      <c r="B14" s="22" t="s">
        <v>98</v>
      </c>
      <c r="C14" s="23"/>
      <c r="D14" s="18" t="s">
        <v>134</v>
      </c>
      <c r="E14" s="197">
        <v>198</v>
      </c>
      <c r="F14" s="41">
        <f>+C14*E14</f>
        <v>0</v>
      </c>
    </row>
    <row r="15" spans="1:6" x14ac:dyDescent="0.25">
      <c r="A15" s="21" t="s">
        <v>466</v>
      </c>
      <c r="B15" s="22" t="s">
        <v>354</v>
      </c>
      <c r="C15" s="23"/>
      <c r="D15" s="18" t="s">
        <v>134</v>
      </c>
      <c r="E15" s="197">
        <v>198</v>
      </c>
      <c r="F15" s="41">
        <f>+C15*E15</f>
        <v>0</v>
      </c>
    </row>
    <row r="16" spans="1:6" x14ac:dyDescent="0.25">
      <c r="A16" s="21"/>
      <c r="B16" s="22"/>
      <c r="C16" s="23"/>
      <c r="D16" s="18"/>
      <c r="E16" s="197"/>
      <c r="F16" s="41"/>
    </row>
    <row r="17" spans="1:6" ht="55.05" customHeight="1" x14ac:dyDescent="0.25">
      <c r="A17" s="21" t="s">
        <v>197</v>
      </c>
      <c r="B17" s="22" t="s">
        <v>196</v>
      </c>
      <c r="C17" s="23"/>
      <c r="D17" s="18"/>
      <c r="E17" s="197"/>
      <c r="F17" s="41"/>
    </row>
    <row r="18" spans="1:6" x14ac:dyDescent="0.25">
      <c r="A18" s="21" t="s">
        <v>467</v>
      </c>
      <c r="B18" s="22" t="s">
        <v>98</v>
      </c>
      <c r="C18" s="23"/>
      <c r="D18" s="18" t="s">
        <v>134</v>
      </c>
      <c r="E18" s="197">
        <v>202</v>
      </c>
      <c r="F18" s="41">
        <f>+C18*E18</f>
        <v>0</v>
      </c>
    </row>
    <row r="19" spans="1:6" x14ac:dyDescent="0.25">
      <c r="A19" s="21" t="s">
        <v>468</v>
      </c>
      <c r="B19" s="22" t="s">
        <v>354</v>
      </c>
      <c r="C19" s="23"/>
      <c r="D19" s="18" t="s">
        <v>134</v>
      </c>
      <c r="E19" s="197">
        <v>202</v>
      </c>
      <c r="F19" s="41">
        <f>+C19*E19</f>
        <v>0</v>
      </c>
    </row>
    <row r="20" spans="1:6" x14ac:dyDescent="0.25">
      <c r="A20" s="21"/>
      <c r="B20" s="22"/>
      <c r="C20" s="23"/>
      <c r="D20" s="18"/>
      <c r="E20" s="197"/>
      <c r="F20" s="41"/>
    </row>
    <row r="21" spans="1:6" ht="41.4" x14ac:dyDescent="0.25">
      <c r="A21" s="21" t="s">
        <v>198</v>
      </c>
      <c r="B21" s="22" t="s">
        <v>357</v>
      </c>
      <c r="C21" s="23"/>
      <c r="D21" s="18"/>
      <c r="E21" s="197"/>
      <c r="F21" s="41"/>
    </row>
    <row r="22" spans="1:6" x14ac:dyDescent="0.25">
      <c r="A22" s="21" t="s">
        <v>469</v>
      </c>
      <c r="B22" s="22" t="s">
        <v>98</v>
      </c>
      <c r="C22" s="23"/>
      <c r="D22" s="18" t="s">
        <v>134</v>
      </c>
      <c r="E22" s="197">
        <v>208</v>
      </c>
      <c r="F22" s="41">
        <f>+C22*E22</f>
        <v>0</v>
      </c>
    </row>
    <row r="23" spans="1:6" x14ac:dyDescent="0.25">
      <c r="A23" s="21" t="s">
        <v>470</v>
      </c>
      <c r="B23" s="22" t="s">
        <v>354</v>
      </c>
      <c r="C23" s="23"/>
      <c r="D23" s="18" t="s">
        <v>134</v>
      </c>
      <c r="E23" s="197">
        <v>208</v>
      </c>
      <c r="F23" s="41">
        <f>+C23*E23</f>
        <v>0</v>
      </c>
    </row>
    <row r="24" spans="1:6" x14ac:dyDescent="0.25">
      <c r="A24" s="21"/>
      <c r="B24" s="22"/>
      <c r="C24" s="23"/>
      <c r="D24" s="18"/>
      <c r="E24" s="197"/>
      <c r="F24" s="41"/>
    </row>
    <row r="25" spans="1:6" ht="55.05" customHeight="1" x14ac:dyDescent="0.25">
      <c r="A25" s="21" t="s">
        <v>200</v>
      </c>
      <c r="B25" s="22" t="s">
        <v>353</v>
      </c>
      <c r="C25" s="23"/>
      <c r="D25" s="18" t="s">
        <v>134</v>
      </c>
      <c r="E25" s="197">
        <v>164</v>
      </c>
      <c r="F25" s="41"/>
    </row>
    <row r="26" spans="1:6" x14ac:dyDescent="0.25">
      <c r="A26" s="18" t="s">
        <v>471</v>
      </c>
      <c r="B26" s="22" t="s">
        <v>108</v>
      </c>
      <c r="C26" s="23"/>
      <c r="D26" s="18" t="s">
        <v>134</v>
      </c>
      <c r="E26" s="197">
        <v>204</v>
      </c>
      <c r="F26" s="41">
        <f>+C26*E26</f>
        <v>0</v>
      </c>
    </row>
    <row r="27" spans="1:6" x14ac:dyDescent="0.25">
      <c r="A27" s="18" t="s">
        <v>472</v>
      </c>
      <c r="B27" s="22" t="s">
        <v>98</v>
      </c>
      <c r="C27" s="23"/>
      <c r="D27" s="18" t="s">
        <v>134</v>
      </c>
      <c r="E27" s="197">
        <v>204</v>
      </c>
      <c r="F27" s="41">
        <f>+C27*E27</f>
        <v>0</v>
      </c>
    </row>
    <row r="28" spans="1:6" x14ac:dyDescent="0.25">
      <c r="A28" s="18" t="s">
        <v>473</v>
      </c>
      <c r="B28" s="22" t="s">
        <v>99</v>
      </c>
      <c r="C28" s="23"/>
      <c r="D28" s="18" t="s">
        <v>134</v>
      </c>
      <c r="E28" s="197">
        <v>204</v>
      </c>
      <c r="F28" s="41">
        <f t="shared" ref="F28:F29" si="0">+C28*E28</f>
        <v>0</v>
      </c>
    </row>
    <row r="29" spans="1:6" x14ac:dyDescent="0.25">
      <c r="A29" s="18" t="s">
        <v>474</v>
      </c>
      <c r="B29" s="22" t="s">
        <v>100</v>
      </c>
      <c r="C29" s="23"/>
      <c r="D29" s="18" t="s">
        <v>134</v>
      </c>
      <c r="E29" s="197">
        <v>204</v>
      </c>
      <c r="F29" s="41">
        <f t="shared" si="0"/>
        <v>0</v>
      </c>
    </row>
    <row r="30" spans="1:6" x14ac:dyDescent="0.25">
      <c r="A30" s="21"/>
      <c r="B30" s="22"/>
      <c r="C30" s="23"/>
      <c r="D30" s="18"/>
      <c r="E30" s="197"/>
      <c r="F30" s="41"/>
    </row>
    <row r="31" spans="1:6" ht="41.4" x14ac:dyDescent="0.25">
      <c r="A31" s="21" t="s">
        <v>475</v>
      </c>
      <c r="B31" s="22" t="s">
        <v>135</v>
      </c>
      <c r="C31" s="23"/>
      <c r="D31" s="18"/>
      <c r="E31" s="197"/>
      <c r="F31" s="41"/>
    </row>
    <row r="32" spans="1:6" x14ac:dyDescent="0.25">
      <c r="A32" s="21" t="s">
        <v>476</v>
      </c>
      <c r="B32" s="22" t="s">
        <v>98</v>
      </c>
      <c r="C32" s="23"/>
      <c r="D32" s="18" t="s">
        <v>134</v>
      </c>
      <c r="E32" s="197">
        <v>204</v>
      </c>
      <c r="F32" s="41">
        <f>+C32*E32</f>
        <v>0</v>
      </c>
    </row>
    <row r="33" spans="1:6" x14ac:dyDescent="0.25">
      <c r="A33" s="21" t="s">
        <v>478</v>
      </c>
      <c r="B33" s="22" t="s">
        <v>354</v>
      </c>
      <c r="C33" s="23"/>
      <c r="D33" s="18" t="s">
        <v>134</v>
      </c>
      <c r="E33" s="197">
        <v>204</v>
      </c>
      <c r="F33" s="41">
        <f>+C33*E33</f>
        <v>0</v>
      </c>
    </row>
    <row r="34" spans="1:6" x14ac:dyDescent="0.25">
      <c r="A34" s="21" t="s">
        <v>477</v>
      </c>
      <c r="B34" s="22" t="s">
        <v>355</v>
      </c>
      <c r="C34" s="23"/>
      <c r="D34" s="18" t="s">
        <v>134</v>
      </c>
      <c r="E34" s="197">
        <v>204</v>
      </c>
      <c r="F34" s="41">
        <f t="shared" ref="F34:F35" si="1">+C34*E34</f>
        <v>0</v>
      </c>
    </row>
    <row r="35" spans="1:6" x14ac:dyDescent="0.25">
      <c r="A35" s="21" t="s">
        <v>479</v>
      </c>
      <c r="B35" s="22" t="s">
        <v>356</v>
      </c>
      <c r="C35" s="23"/>
      <c r="D35" s="18" t="s">
        <v>134</v>
      </c>
      <c r="E35" s="197">
        <v>204</v>
      </c>
      <c r="F35" s="41">
        <f t="shared" si="1"/>
        <v>0</v>
      </c>
    </row>
    <row r="36" spans="1:6" x14ac:dyDescent="0.25">
      <c r="A36" s="21"/>
      <c r="B36" s="22"/>
      <c r="C36" s="23"/>
      <c r="D36" s="18"/>
      <c r="E36" s="197"/>
      <c r="F36" s="41"/>
    </row>
    <row r="37" spans="1:6" ht="55.05" customHeight="1" x14ac:dyDescent="0.25">
      <c r="A37" s="21" t="s">
        <v>480</v>
      </c>
      <c r="B37" s="22" t="s">
        <v>199</v>
      </c>
      <c r="C37" s="23"/>
      <c r="D37" s="18"/>
      <c r="E37" s="197"/>
      <c r="F37" s="41"/>
    </row>
    <row r="38" spans="1:6" x14ac:dyDescent="0.25">
      <c r="A38" s="21" t="s">
        <v>481</v>
      </c>
      <c r="B38" s="22" t="s">
        <v>98</v>
      </c>
      <c r="C38" s="23"/>
      <c r="D38" s="18" t="s">
        <v>134</v>
      </c>
      <c r="E38" s="197">
        <v>210</v>
      </c>
      <c r="F38" s="41">
        <f>+C38*E38</f>
        <v>0</v>
      </c>
    </row>
    <row r="39" spans="1:6" x14ac:dyDescent="0.25">
      <c r="A39" s="21" t="s">
        <v>482</v>
      </c>
      <c r="B39" s="22" t="s">
        <v>354</v>
      </c>
      <c r="C39" s="23"/>
      <c r="D39" s="18" t="s">
        <v>134</v>
      </c>
      <c r="E39" s="197">
        <v>210</v>
      </c>
      <c r="F39" s="41">
        <f>+C39*E39</f>
        <v>0</v>
      </c>
    </row>
    <row r="40" spans="1:6" x14ac:dyDescent="0.25">
      <c r="A40" s="21" t="s">
        <v>483</v>
      </c>
      <c r="B40" s="22" t="s">
        <v>355</v>
      </c>
      <c r="C40" s="23"/>
      <c r="D40" s="18" t="s">
        <v>134</v>
      </c>
      <c r="E40" s="197">
        <v>210</v>
      </c>
      <c r="F40" s="41">
        <f t="shared" ref="F40:F41" si="2">+C40*E40</f>
        <v>0</v>
      </c>
    </row>
    <row r="41" spans="1:6" x14ac:dyDescent="0.25">
      <c r="A41" s="21" t="s">
        <v>484</v>
      </c>
      <c r="B41" s="22" t="s">
        <v>356</v>
      </c>
      <c r="C41" s="23"/>
      <c r="D41" s="18" t="s">
        <v>134</v>
      </c>
      <c r="E41" s="197">
        <v>210</v>
      </c>
      <c r="F41" s="41">
        <f t="shared" si="2"/>
        <v>0</v>
      </c>
    </row>
    <row r="42" spans="1:6" x14ac:dyDescent="0.25">
      <c r="A42" s="21"/>
      <c r="B42" s="22"/>
      <c r="C42" s="23"/>
      <c r="D42" s="18"/>
      <c r="E42" s="197"/>
      <c r="F42" s="41"/>
    </row>
    <row r="43" spans="1:6" ht="55.05" customHeight="1" x14ac:dyDescent="0.25">
      <c r="A43" s="21" t="s">
        <v>485</v>
      </c>
      <c r="B43" s="22" t="s">
        <v>201</v>
      </c>
      <c r="C43" s="23"/>
      <c r="D43" s="18"/>
      <c r="E43" s="197"/>
      <c r="F43" s="41"/>
    </row>
    <row r="44" spans="1:6" x14ac:dyDescent="0.25">
      <c r="A44" s="21" t="s">
        <v>486</v>
      </c>
      <c r="B44" s="22" t="s">
        <v>98</v>
      </c>
      <c r="C44" s="23"/>
      <c r="D44" s="18" t="s">
        <v>134</v>
      </c>
      <c r="E44" s="197">
        <v>210</v>
      </c>
      <c r="F44" s="41">
        <f>+C44*E44</f>
        <v>0</v>
      </c>
    </row>
    <row r="45" spans="1:6" x14ac:dyDescent="0.25">
      <c r="A45" s="21" t="s">
        <v>487</v>
      </c>
      <c r="B45" s="22" t="s">
        <v>354</v>
      </c>
      <c r="C45" s="23"/>
      <c r="D45" s="18" t="s">
        <v>134</v>
      </c>
      <c r="E45" s="197">
        <v>210</v>
      </c>
      <c r="F45" s="41">
        <f>+C45*E45</f>
        <v>0</v>
      </c>
    </row>
    <row r="46" spans="1:6" x14ac:dyDescent="0.25">
      <c r="A46" s="21" t="s">
        <v>488</v>
      </c>
      <c r="B46" s="22" t="s">
        <v>355</v>
      </c>
      <c r="C46" s="23"/>
      <c r="D46" s="18" t="s">
        <v>134</v>
      </c>
      <c r="E46" s="197">
        <v>210</v>
      </c>
      <c r="F46" s="41">
        <f t="shared" ref="F46" si="3">+C46*E46</f>
        <v>0</v>
      </c>
    </row>
    <row r="47" spans="1:6" x14ac:dyDescent="0.25">
      <c r="A47" s="21"/>
      <c r="B47" s="22"/>
      <c r="C47" s="23"/>
      <c r="D47" s="18"/>
      <c r="E47" s="197"/>
      <c r="F47" s="41"/>
    </row>
    <row r="48" spans="1:6" ht="41.4" x14ac:dyDescent="0.25">
      <c r="A48" s="21" t="s">
        <v>489</v>
      </c>
      <c r="B48" s="22" t="s">
        <v>358</v>
      </c>
      <c r="C48" s="23"/>
      <c r="D48" s="18"/>
      <c r="E48" s="197"/>
      <c r="F48" s="41"/>
    </row>
    <row r="49" spans="1:6" x14ac:dyDescent="0.25">
      <c r="A49" s="21" t="s">
        <v>490</v>
      </c>
      <c r="B49" s="22" t="s">
        <v>98</v>
      </c>
      <c r="C49" s="23"/>
      <c r="D49" s="18" t="s">
        <v>134</v>
      </c>
      <c r="E49" s="197">
        <v>216</v>
      </c>
      <c r="F49" s="41">
        <f>+C49*E49</f>
        <v>0</v>
      </c>
    </row>
    <row r="50" spans="1:6" x14ac:dyDescent="0.25">
      <c r="A50" s="21" t="s">
        <v>491</v>
      </c>
      <c r="B50" s="22" t="s">
        <v>354</v>
      </c>
      <c r="C50" s="23"/>
      <c r="D50" s="18" t="s">
        <v>134</v>
      </c>
      <c r="E50" s="197">
        <v>216</v>
      </c>
      <c r="F50" s="41">
        <f>+C50*E50</f>
        <v>0</v>
      </c>
    </row>
    <row r="51" spans="1:6" x14ac:dyDescent="0.25">
      <c r="A51" s="21" t="s">
        <v>492</v>
      </c>
      <c r="B51" s="22" t="s">
        <v>355</v>
      </c>
      <c r="C51" s="23"/>
      <c r="D51" s="18" t="s">
        <v>134</v>
      </c>
      <c r="E51" s="197">
        <v>216</v>
      </c>
      <c r="F51" s="41">
        <f t="shared" ref="F51" si="4">+C51*E51</f>
        <v>0</v>
      </c>
    </row>
    <row r="52" spans="1:6" x14ac:dyDescent="0.25">
      <c r="A52" s="21"/>
      <c r="B52" s="22"/>
      <c r="C52" s="23"/>
      <c r="D52" s="18"/>
      <c r="E52" s="197"/>
      <c r="F52" s="41"/>
    </row>
    <row r="53" spans="1:6" x14ac:dyDescent="0.25">
      <c r="A53" s="21"/>
      <c r="B53" s="22"/>
      <c r="C53" s="23"/>
      <c r="D53" s="18"/>
      <c r="E53" s="197"/>
      <c r="F53" s="41"/>
    </row>
    <row r="54" spans="1:6" x14ac:dyDescent="0.25">
      <c r="A54" s="21"/>
      <c r="B54" s="22"/>
      <c r="C54" s="23"/>
      <c r="D54" s="18"/>
      <c r="E54" s="197"/>
      <c r="F54" s="41"/>
    </row>
    <row r="55" spans="1:6" s="12" customFormat="1" x14ac:dyDescent="0.25">
      <c r="A55" s="102"/>
      <c r="B55" s="103" t="s">
        <v>46</v>
      </c>
      <c r="C55" s="104"/>
      <c r="D55" s="105"/>
      <c r="E55" s="199"/>
      <c r="F55" s="106">
        <f>SUM(F5:F53)</f>
        <v>0</v>
      </c>
    </row>
  </sheetData>
  <mergeCells count="2">
    <mergeCell ref="A1:F1"/>
    <mergeCell ref="A2:F2"/>
  </mergeCells>
  <pageMargins left="0.5" right="0.5" top="0.25" bottom="0.25" header="0.5" footer="0.5"/>
  <pageSetup orientation="portrait" verticalDpi="0" r:id="rId1"/>
  <headerFooter alignWithMargins="0">
    <oddFooter>&amp;C&amp;P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R626"/>
  <sheetViews>
    <sheetView topLeftCell="A118" workbookViewId="0">
      <selection activeCell="H125" sqref="H125"/>
    </sheetView>
  </sheetViews>
  <sheetFormatPr defaultColWidth="9.21875" defaultRowHeight="13.8" x14ac:dyDescent="0.25"/>
  <cols>
    <col min="1" max="1" width="8.21875" style="503" customWidth="1"/>
    <col min="2" max="2" width="64.21875" style="431" customWidth="1"/>
    <col min="3" max="3" width="10.77734375" style="504" customWidth="1"/>
    <col min="4" max="4" width="9" style="503" customWidth="1"/>
    <col min="5" max="5" width="12.77734375" style="505" bestFit="1" customWidth="1"/>
    <col min="6" max="6" width="15.77734375" style="504" bestFit="1" customWidth="1"/>
    <col min="7" max="7" width="9.21875" style="394"/>
    <col min="8" max="8" width="13.109375" style="395" bestFit="1" customWidth="1"/>
    <col min="9" max="9" width="10" style="394" bestFit="1" customWidth="1"/>
    <col min="10" max="10" width="11" style="394" bestFit="1" customWidth="1"/>
    <col min="11" max="11" width="10" style="394" bestFit="1" customWidth="1"/>
    <col min="12" max="16384" width="9.21875" style="394"/>
  </cols>
  <sheetData>
    <row r="1" spans="1:8" s="336" customFormat="1" x14ac:dyDescent="0.25">
      <c r="A1" s="2762" t="s">
        <v>126</v>
      </c>
      <c r="B1" s="2763"/>
      <c r="C1" s="2763"/>
      <c r="D1" s="2763"/>
      <c r="E1" s="2763"/>
      <c r="F1" s="2764"/>
      <c r="H1" s="337"/>
    </row>
    <row r="2" spans="1:8" s="336" customFormat="1" ht="14.4" thickBot="1" x14ac:dyDescent="0.3">
      <c r="A2" s="2765"/>
      <c r="B2" s="2766"/>
      <c r="C2" s="2766"/>
      <c r="D2" s="2766"/>
      <c r="E2" s="2766"/>
      <c r="F2" s="2767"/>
      <c r="H2" s="337"/>
    </row>
    <row r="3" spans="1:8" s="336" customFormat="1" ht="14.4" thickBot="1" x14ac:dyDescent="0.3">
      <c r="A3" s="338" t="s">
        <v>0</v>
      </c>
      <c r="B3" s="339" t="s">
        <v>1</v>
      </c>
      <c r="C3" s="340" t="s">
        <v>2</v>
      </c>
      <c r="D3" s="341" t="s">
        <v>3</v>
      </c>
      <c r="E3" s="342" t="s">
        <v>4</v>
      </c>
      <c r="F3" s="49" t="s">
        <v>5</v>
      </c>
      <c r="H3" s="337"/>
    </row>
    <row r="4" spans="1:8" s="336" customFormat="1" x14ac:dyDescent="0.25">
      <c r="A4" s="343"/>
      <c r="B4" s="344" t="s">
        <v>6</v>
      </c>
      <c r="C4" s="345"/>
      <c r="D4" s="346"/>
      <c r="E4" s="347"/>
      <c r="F4" s="348"/>
      <c r="H4" s="337"/>
    </row>
    <row r="5" spans="1:8" s="336" customFormat="1" x14ac:dyDescent="0.25">
      <c r="A5" s="349" t="s">
        <v>7</v>
      </c>
      <c r="B5" s="344" t="s">
        <v>8</v>
      </c>
      <c r="C5" s="345"/>
      <c r="D5" s="350"/>
      <c r="E5" s="351"/>
      <c r="F5" s="348"/>
      <c r="H5" s="337"/>
    </row>
    <row r="6" spans="1:8" s="336" customFormat="1" x14ac:dyDescent="0.25">
      <c r="A6" s="343"/>
      <c r="B6" s="352"/>
      <c r="C6" s="345"/>
      <c r="D6" s="350"/>
      <c r="E6" s="351"/>
      <c r="F6" s="348"/>
      <c r="H6" s="337"/>
    </row>
    <row r="7" spans="1:8" s="336" customFormat="1" x14ac:dyDescent="0.25">
      <c r="A7" s="353"/>
      <c r="B7" s="344" t="s">
        <v>9</v>
      </c>
      <c r="C7" s="59"/>
      <c r="D7" s="354"/>
      <c r="E7" s="355"/>
      <c r="F7" s="62"/>
      <c r="H7" s="337"/>
    </row>
    <row r="8" spans="1:8" s="336" customFormat="1" ht="55.2" x14ac:dyDescent="0.25">
      <c r="A8" s="353"/>
      <c r="B8" s="356" t="s">
        <v>10</v>
      </c>
      <c r="C8" s="59"/>
      <c r="D8" s="354"/>
      <c r="E8" s="355"/>
      <c r="F8" s="62"/>
      <c r="H8" s="337"/>
    </row>
    <row r="9" spans="1:8" s="336" customFormat="1" x14ac:dyDescent="0.25">
      <c r="A9" s="353"/>
      <c r="B9" s="356"/>
      <c r="C9" s="59"/>
      <c r="D9" s="354"/>
      <c r="E9" s="355"/>
      <c r="F9" s="62"/>
      <c r="H9" s="337"/>
    </row>
    <row r="10" spans="1:8" s="336" customFormat="1" x14ac:dyDescent="0.25">
      <c r="A10" s="353" t="s">
        <v>11</v>
      </c>
      <c r="B10" s="356" t="s">
        <v>12</v>
      </c>
      <c r="C10" s="64">
        <v>1</v>
      </c>
      <c r="D10" s="357" t="s">
        <v>13</v>
      </c>
      <c r="E10" s="355">
        <v>685000</v>
      </c>
      <c r="F10" s="62">
        <f>C10*E10</f>
        <v>685000</v>
      </c>
      <c r="H10" s="337"/>
    </row>
    <row r="11" spans="1:8" s="336" customFormat="1" x14ac:dyDescent="0.25">
      <c r="A11" s="353"/>
      <c r="B11" s="356"/>
      <c r="C11" s="59"/>
      <c r="D11" s="354"/>
      <c r="E11" s="355"/>
      <c r="F11" s="62"/>
      <c r="H11" s="337"/>
    </row>
    <row r="12" spans="1:8" s="336" customFormat="1" x14ac:dyDescent="0.25">
      <c r="A12" s="353" t="s">
        <v>14</v>
      </c>
      <c r="B12" s="356" t="s">
        <v>15</v>
      </c>
      <c r="C12" s="64">
        <v>1</v>
      </c>
      <c r="D12" s="357" t="s">
        <v>13</v>
      </c>
      <c r="E12" s="355">
        <v>20000</v>
      </c>
      <c r="F12" s="62">
        <f>C12*E12</f>
        <v>20000</v>
      </c>
      <c r="H12" s="337"/>
    </row>
    <row r="13" spans="1:8" s="336" customFormat="1" x14ac:dyDescent="0.25">
      <c r="A13" s="353"/>
      <c r="B13" s="356"/>
      <c r="C13" s="59"/>
      <c r="D13" s="354"/>
      <c r="E13" s="355"/>
      <c r="F13" s="62"/>
      <c r="H13" s="337"/>
    </row>
    <row r="14" spans="1:8" s="336" customFormat="1" ht="41.4" x14ac:dyDescent="0.25">
      <c r="A14" s="353" t="s">
        <v>16</v>
      </c>
      <c r="B14" s="356" t="s">
        <v>17</v>
      </c>
      <c r="C14" s="64">
        <v>1</v>
      </c>
      <c r="D14" s="357" t="s">
        <v>13</v>
      </c>
      <c r="E14" s="355">
        <v>810000</v>
      </c>
      <c r="F14" s="62">
        <f>C14*E14</f>
        <v>810000</v>
      </c>
      <c r="H14" s="337"/>
    </row>
    <row r="15" spans="1:8" s="336" customFormat="1" x14ac:dyDescent="0.25">
      <c r="A15" s="353"/>
      <c r="B15" s="356"/>
      <c r="C15" s="59"/>
      <c r="D15" s="354"/>
      <c r="E15" s="355"/>
      <c r="F15" s="62"/>
      <c r="H15" s="337"/>
    </row>
    <row r="16" spans="1:8" s="336" customFormat="1" ht="41.4" x14ac:dyDescent="0.25">
      <c r="A16" s="353" t="s">
        <v>18</v>
      </c>
      <c r="B16" s="356" t="s">
        <v>19</v>
      </c>
      <c r="C16" s="64">
        <v>1</v>
      </c>
      <c r="D16" s="357" t="s">
        <v>13</v>
      </c>
      <c r="E16" s="355">
        <v>30000</v>
      </c>
      <c r="F16" s="62">
        <f>C16*E16</f>
        <v>30000</v>
      </c>
      <c r="H16" s="337"/>
    </row>
    <row r="17" spans="1:8" s="336" customFormat="1" x14ac:dyDescent="0.25">
      <c r="A17" s="353"/>
      <c r="B17" s="356"/>
      <c r="C17" s="59"/>
      <c r="D17" s="354"/>
      <c r="E17" s="355"/>
      <c r="F17" s="62"/>
      <c r="H17" s="337"/>
    </row>
    <row r="18" spans="1:8" s="336" customFormat="1" ht="27.6" x14ac:dyDescent="0.25">
      <c r="A18" s="353" t="s">
        <v>20</v>
      </c>
      <c r="B18" s="356" t="s">
        <v>397</v>
      </c>
      <c r="C18" s="64">
        <v>1</v>
      </c>
      <c r="D18" s="357" t="s">
        <v>13</v>
      </c>
      <c r="E18" s="355">
        <v>160000</v>
      </c>
      <c r="F18" s="62">
        <f>C18*E18</f>
        <v>160000</v>
      </c>
      <c r="H18" s="337"/>
    </row>
    <row r="19" spans="1:8" s="336" customFormat="1" x14ac:dyDescent="0.25">
      <c r="A19" s="353"/>
      <c r="B19" s="356"/>
      <c r="C19" s="64"/>
      <c r="D19" s="357"/>
      <c r="E19" s="358"/>
      <c r="F19" s="66"/>
      <c r="H19" s="337"/>
    </row>
    <row r="20" spans="1:8" s="336" customFormat="1" ht="27.6" x14ac:dyDescent="0.25">
      <c r="A20" s="353" t="s">
        <v>21</v>
      </c>
      <c r="B20" s="356" t="s">
        <v>22</v>
      </c>
      <c r="C20" s="64">
        <v>1</v>
      </c>
      <c r="D20" s="357" t="s">
        <v>13</v>
      </c>
      <c r="E20" s="355">
        <v>100000</v>
      </c>
      <c r="F20" s="62">
        <f>C20*E20</f>
        <v>100000</v>
      </c>
      <c r="H20" s="337"/>
    </row>
    <row r="21" spans="1:8" s="336" customFormat="1" x14ac:dyDescent="0.25">
      <c r="A21" s="353"/>
      <c r="B21" s="356"/>
      <c r="C21" s="64"/>
      <c r="D21" s="357"/>
      <c r="E21" s="355"/>
      <c r="F21" s="62"/>
      <c r="H21" s="337"/>
    </row>
    <row r="22" spans="1:8" s="336" customFormat="1" x14ac:dyDescent="0.25">
      <c r="A22" s="353" t="s">
        <v>23</v>
      </c>
      <c r="B22" s="356" t="s">
        <v>398</v>
      </c>
      <c r="C22" s="64">
        <v>1</v>
      </c>
      <c r="D22" s="357" t="s">
        <v>13</v>
      </c>
      <c r="E22" s="355">
        <v>15000</v>
      </c>
      <c r="F22" s="62">
        <f>C22*E22</f>
        <v>15000</v>
      </c>
      <c r="H22" s="337"/>
    </row>
    <row r="23" spans="1:8" s="336" customFormat="1" x14ac:dyDescent="0.25">
      <c r="A23" s="353"/>
      <c r="B23" s="356"/>
      <c r="C23" s="64"/>
      <c r="D23" s="357"/>
      <c r="E23" s="355"/>
      <c r="F23" s="62"/>
      <c r="H23" s="337"/>
    </row>
    <row r="24" spans="1:8" s="336" customFormat="1" ht="41.4" x14ac:dyDescent="0.25">
      <c r="A24" s="353" t="s">
        <v>24</v>
      </c>
      <c r="B24" s="359" t="s">
        <v>25</v>
      </c>
      <c r="C24" s="59"/>
      <c r="D24" s="357" t="s">
        <v>13</v>
      </c>
      <c r="E24" s="355"/>
      <c r="F24" s="68" t="s">
        <v>26</v>
      </c>
      <c r="H24" s="337"/>
    </row>
    <row r="25" spans="1:8" s="336" customFormat="1" x14ac:dyDescent="0.25">
      <c r="A25" s="353"/>
      <c r="B25" s="359"/>
      <c r="C25" s="59"/>
      <c r="D25" s="354"/>
      <c r="E25" s="355"/>
      <c r="F25" s="68"/>
      <c r="H25" s="337"/>
    </row>
    <row r="26" spans="1:8" s="336" customFormat="1" ht="41.4" x14ac:dyDescent="0.25">
      <c r="A26" s="353" t="s">
        <v>27</v>
      </c>
      <c r="B26" s="359" t="s">
        <v>28</v>
      </c>
      <c r="C26" s="59"/>
      <c r="D26" s="357" t="s">
        <v>13</v>
      </c>
      <c r="E26" s="355"/>
      <c r="F26" s="68" t="s">
        <v>26</v>
      </c>
      <c r="H26" s="337"/>
    </row>
    <row r="27" spans="1:8" s="336" customFormat="1" x14ac:dyDescent="0.25">
      <c r="A27" s="353"/>
      <c r="B27" s="356"/>
      <c r="C27" s="64"/>
      <c r="D27" s="357"/>
      <c r="E27" s="355"/>
      <c r="F27" s="62"/>
      <c r="H27" s="337"/>
    </row>
    <row r="28" spans="1:8" s="336" customFormat="1" ht="27.6" x14ac:dyDescent="0.25">
      <c r="A28" s="353" t="s">
        <v>29</v>
      </c>
      <c r="B28" s="356" t="s">
        <v>399</v>
      </c>
      <c r="C28" s="64">
        <v>1</v>
      </c>
      <c r="D28" s="357" t="s">
        <v>13</v>
      </c>
      <c r="E28" s="355">
        <v>50000</v>
      </c>
      <c r="F28" s="62">
        <f>C28*E28</f>
        <v>50000</v>
      </c>
      <c r="H28" s="337"/>
    </row>
    <row r="29" spans="1:8" s="336" customFormat="1" x14ac:dyDescent="0.25">
      <c r="A29" s="353"/>
      <c r="B29" s="360"/>
      <c r="C29" s="64"/>
      <c r="D29" s="357"/>
      <c r="E29" s="355"/>
      <c r="F29" s="62"/>
      <c r="H29" s="337"/>
    </row>
    <row r="30" spans="1:8" s="336" customFormat="1" x14ac:dyDescent="0.25">
      <c r="A30" s="353" t="s">
        <v>30</v>
      </c>
      <c r="B30" s="356" t="s">
        <v>400</v>
      </c>
      <c r="C30" s="64">
        <v>1</v>
      </c>
      <c r="D30" s="357" t="s">
        <v>13</v>
      </c>
      <c r="E30" s="355">
        <v>60000</v>
      </c>
      <c r="F30" s="62">
        <f>C30*E30</f>
        <v>60000</v>
      </c>
      <c r="H30" s="337"/>
    </row>
    <row r="31" spans="1:8" s="336" customFormat="1" x14ac:dyDescent="0.25">
      <c r="A31" s="353"/>
      <c r="B31" s="360"/>
      <c r="C31" s="64"/>
      <c r="D31" s="357"/>
      <c r="E31" s="355"/>
      <c r="F31" s="62"/>
      <c r="H31" s="337"/>
    </row>
    <row r="32" spans="1:8" s="336" customFormat="1" ht="41.4" x14ac:dyDescent="0.25">
      <c r="A32" s="353" t="s">
        <v>31</v>
      </c>
      <c r="B32" s="356" t="s">
        <v>401</v>
      </c>
      <c r="C32" s="64">
        <v>1</v>
      </c>
      <c r="D32" s="357" t="s">
        <v>13</v>
      </c>
      <c r="E32" s="355">
        <v>150000</v>
      </c>
      <c r="F32" s="62">
        <f t="shared" ref="F32:F48" si="0">C32*E32</f>
        <v>150000</v>
      </c>
      <c r="H32" s="337"/>
    </row>
    <row r="33" spans="1:8" s="336" customFormat="1" ht="14.4" thickBot="1" x14ac:dyDescent="0.3">
      <c r="A33" s="361"/>
      <c r="B33" s="362"/>
      <c r="C33" s="72"/>
      <c r="D33" s="363"/>
      <c r="E33" s="364"/>
      <c r="F33" s="74"/>
      <c r="H33" s="337"/>
    </row>
    <row r="34" spans="1:8" s="336" customFormat="1" x14ac:dyDescent="0.25">
      <c r="A34" s="365" t="s">
        <v>32</v>
      </c>
      <c r="B34" s="366" t="s">
        <v>402</v>
      </c>
      <c r="C34" s="77">
        <v>1</v>
      </c>
      <c r="D34" s="367" t="s">
        <v>13</v>
      </c>
      <c r="E34" s="368">
        <v>50000</v>
      </c>
      <c r="F34" s="79">
        <f t="shared" si="0"/>
        <v>50000</v>
      </c>
      <c r="H34" s="337"/>
    </row>
    <row r="35" spans="1:8" s="336" customFormat="1" x14ac:dyDescent="0.25">
      <c r="A35" s="353"/>
      <c r="B35" s="356"/>
      <c r="C35" s="64"/>
      <c r="D35" s="357"/>
      <c r="E35" s="355"/>
      <c r="F35" s="62"/>
      <c r="H35" s="337"/>
    </row>
    <row r="36" spans="1:8" s="336" customFormat="1" ht="27.6" x14ac:dyDescent="0.25">
      <c r="A36" s="353" t="s">
        <v>33</v>
      </c>
      <c r="B36" s="356" t="s">
        <v>403</v>
      </c>
      <c r="C36" s="64">
        <v>1</v>
      </c>
      <c r="D36" s="357" t="s">
        <v>13</v>
      </c>
      <c r="E36" s="355">
        <v>300000</v>
      </c>
      <c r="F36" s="62">
        <f t="shared" si="0"/>
        <v>300000</v>
      </c>
      <c r="H36" s="337"/>
    </row>
    <row r="37" spans="1:8" s="336" customFormat="1" x14ac:dyDescent="0.25">
      <c r="A37" s="353"/>
      <c r="B37" s="356"/>
      <c r="C37" s="64"/>
      <c r="D37" s="357"/>
      <c r="E37" s="355"/>
      <c r="F37" s="62"/>
      <c r="H37" s="337"/>
    </row>
    <row r="38" spans="1:8" s="336" customFormat="1" ht="27.6" x14ac:dyDescent="0.25">
      <c r="A38" s="353" t="s">
        <v>34</v>
      </c>
      <c r="B38" s="356" t="s">
        <v>404</v>
      </c>
      <c r="C38" s="64">
        <v>1</v>
      </c>
      <c r="D38" s="357" t="s">
        <v>13</v>
      </c>
      <c r="E38" s="355">
        <v>200000</v>
      </c>
      <c r="F38" s="62">
        <f t="shared" si="0"/>
        <v>200000</v>
      </c>
      <c r="H38" s="337"/>
    </row>
    <row r="39" spans="1:8" s="336" customFormat="1" x14ac:dyDescent="0.25">
      <c r="A39" s="353"/>
      <c r="B39" s="356"/>
      <c r="C39" s="64"/>
      <c r="D39" s="357"/>
      <c r="E39" s="355"/>
      <c r="F39" s="62"/>
      <c r="H39" s="337"/>
    </row>
    <row r="40" spans="1:8" s="336" customFormat="1" ht="27.6" x14ac:dyDescent="0.25">
      <c r="A40" s="353" t="s">
        <v>35</v>
      </c>
      <c r="B40" s="356" t="s">
        <v>36</v>
      </c>
      <c r="C40" s="64">
        <v>1</v>
      </c>
      <c r="D40" s="357" t="s">
        <v>13</v>
      </c>
      <c r="E40" s="355">
        <v>100000</v>
      </c>
      <c r="F40" s="62">
        <f t="shared" si="0"/>
        <v>100000</v>
      </c>
      <c r="H40" s="337"/>
    </row>
    <row r="41" spans="1:8" s="336" customFormat="1" x14ac:dyDescent="0.25">
      <c r="A41" s="353"/>
      <c r="B41" s="356"/>
      <c r="C41" s="64"/>
      <c r="D41" s="357"/>
      <c r="E41" s="355"/>
      <c r="F41" s="62"/>
      <c r="H41" s="337"/>
    </row>
    <row r="42" spans="1:8" s="336" customFormat="1" ht="41.4" x14ac:dyDescent="0.25">
      <c r="A42" s="353" t="s">
        <v>37</v>
      </c>
      <c r="B42" s="356" t="s">
        <v>38</v>
      </c>
      <c r="C42" s="64">
        <v>1</v>
      </c>
      <c r="D42" s="357" t="s">
        <v>13</v>
      </c>
      <c r="E42" s="355">
        <v>75000</v>
      </c>
      <c r="F42" s="62">
        <f t="shared" si="0"/>
        <v>75000</v>
      </c>
      <c r="H42" s="337"/>
    </row>
    <row r="43" spans="1:8" s="336" customFormat="1" x14ac:dyDescent="0.25">
      <c r="A43" s="353"/>
      <c r="B43" s="356"/>
      <c r="C43" s="64"/>
      <c r="D43" s="357"/>
      <c r="E43" s="355"/>
      <c r="F43" s="62"/>
      <c r="H43" s="337"/>
    </row>
    <row r="44" spans="1:8" s="336" customFormat="1" x14ac:dyDescent="0.25">
      <c r="A44" s="353" t="s">
        <v>39</v>
      </c>
      <c r="B44" s="356" t="s">
        <v>40</v>
      </c>
      <c r="C44" s="64">
        <v>1</v>
      </c>
      <c r="D44" s="357" t="s">
        <v>13</v>
      </c>
      <c r="E44" s="355">
        <v>30000</v>
      </c>
      <c r="F44" s="62">
        <f t="shared" si="0"/>
        <v>30000</v>
      </c>
      <c r="H44" s="337"/>
    </row>
    <row r="45" spans="1:8" s="336" customFormat="1" x14ac:dyDescent="0.25">
      <c r="A45" s="353"/>
      <c r="B45" s="356"/>
      <c r="C45" s="64"/>
      <c r="D45" s="357"/>
      <c r="E45" s="355"/>
      <c r="F45" s="62"/>
      <c r="H45" s="337"/>
    </row>
    <row r="46" spans="1:8" s="336" customFormat="1" ht="41.4" x14ac:dyDescent="0.25">
      <c r="A46" s="353" t="s">
        <v>41</v>
      </c>
      <c r="B46" s="356" t="s">
        <v>43</v>
      </c>
      <c r="C46" s="64">
        <v>1</v>
      </c>
      <c r="D46" s="357" t="s">
        <v>13</v>
      </c>
      <c r="E46" s="355">
        <v>20000</v>
      </c>
      <c r="F46" s="62">
        <f t="shared" si="0"/>
        <v>20000</v>
      </c>
      <c r="H46" s="337"/>
    </row>
    <row r="47" spans="1:8" s="336" customFormat="1" x14ac:dyDescent="0.25">
      <c r="A47" s="353"/>
      <c r="B47" s="369"/>
      <c r="C47" s="64"/>
      <c r="D47" s="357"/>
      <c r="E47" s="355"/>
      <c r="F47" s="62"/>
      <c r="H47" s="337"/>
    </row>
    <row r="48" spans="1:8" s="336" customFormat="1" ht="27.6" x14ac:dyDescent="0.25">
      <c r="A48" s="353" t="s">
        <v>42</v>
      </c>
      <c r="B48" s="356" t="s">
        <v>44</v>
      </c>
      <c r="C48" s="64">
        <v>1</v>
      </c>
      <c r="D48" s="357" t="s">
        <v>13</v>
      </c>
      <c r="E48" s="355">
        <v>15000</v>
      </c>
      <c r="F48" s="62">
        <f t="shared" si="0"/>
        <v>15000</v>
      </c>
      <c r="H48" s="337"/>
    </row>
    <row r="49" spans="1:8" s="336" customFormat="1" x14ac:dyDescent="0.25">
      <c r="A49" s="343"/>
      <c r="B49" s="370"/>
      <c r="C49" s="82"/>
      <c r="D49" s="371"/>
      <c r="E49" s="372"/>
      <c r="F49" s="84"/>
      <c r="H49" s="337"/>
    </row>
    <row r="50" spans="1:8" s="336" customFormat="1" x14ac:dyDescent="0.25">
      <c r="A50" s="343"/>
      <c r="B50" s="370"/>
      <c r="C50" s="82"/>
      <c r="D50" s="371"/>
      <c r="E50" s="372"/>
      <c r="F50" s="84"/>
      <c r="H50" s="337"/>
    </row>
    <row r="51" spans="1:8" s="336" customFormat="1" x14ac:dyDescent="0.25">
      <c r="A51" s="343"/>
      <c r="B51" s="370"/>
      <c r="C51" s="82"/>
      <c r="D51" s="371"/>
      <c r="E51" s="372"/>
      <c r="F51" s="84"/>
      <c r="H51" s="337"/>
    </row>
    <row r="52" spans="1:8" s="336" customFormat="1" x14ac:dyDescent="0.25">
      <c r="A52" s="343"/>
      <c r="B52" s="370"/>
      <c r="C52" s="82"/>
      <c r="D52" s="371"/>
      <c r="E52" s="372"/>
      <c r="F52" s="84"/>
      <c r="H52" s="337"/>
    </row>
    <row r="53" spans="1:8" s="336" customFormat="1" x14ac:dyDescent="0.25">
      <c r="A53" s="343"/>
      <c r="B53" s="370"/>
      <c r="C53" s="82"/>
      <c r="D53" s="371"/>
      <c r="E53" s="372"/>
      <c r="F53" s="84"/>
      <c r="H53" s="337"/>
    </row>
    <row r="54" spans="1:8" s="336" customFormat="1" x14ac:dyDescent="0.25">
      <c r="A54" s="343"/>
      <c r="B54" s="373"/>
      <c r="C54" s="86"/>
      <c r="D54" s="374"/>
      <c r="E54" s="372"/>
      <c r="F54" s="84"/>
      <c r="H54" s="337"/>
    </row>
    <row r="55" spans="1:8" s="336" customFormat="1" x14ac:dyDescent="0.25">
      <c r="A55" s="357"/>
      <c r="B55" s="375" t="s">
        <v>45</v>
      </c>
      <c r="C55" s="59"/>
      <c r="D55" s="376"/>
      <c r="E55" s="355"/>
      <c r="F55" s="61">
        <f>SUM(F10:F54)</f>
        <v>2870000</v>
      </c>
      <c r="H55" s="337"/>
    </row>
    <row r="56" spans="1:8" s="336" customFormat="1" ht="14.4" thickBot="1" x14ac:dyDescent="0.3">
      <c r="A56" s="377"/>
      <c r="B56" s="378"/>
      <c r="C56" s="92"/>
      <c r="D56" s="379"/>
      <c r="E56" s="380"/>
      <c r="F56" s="94"/>
      <c r="H56" s="337"/>
    </row>
    <row r="57" spans="1:8" s="387" customFormat="1" ht="28.05" customHeight="1" x14ac:dyDescent="0.25">
      <c r="A57" s="381"/>
      <c r="B57" s="382" t="s">
        <v>136</v>
      </c>
      <c r="C57" s="383"/>
      <c r="D57" s="384"/>
      <c r="E57" s="385"/>
      <c r="F57" s="386"/>
      <c r="H57" s="388"/>
    </row>
    <row r="58" spans="1:8" s="387" customFormat="1" ht="20.100000000000001" customHeight="1" x14ac:dyDescent="0.25">
      <c r="A58" s="381"/>
      <c r="B58" s="389" t="s">
        <v>137</v>
      </c>
      <c r="C58" s="390"/>
      <c r="D58" s="384"/>
      <c r="E58" s="385"/>
      <c r="F58" s="386"/>
      <c r="H58" s="388"/>
    </row>
    <row r="59" spans="1:8" ht="27.6" x14ac:dyDescent="0.25">
      <c r="A59" s="391" t="s">
        <v>138</v>
      </c>
      <c r="B59" s="392" t="s">
        <v>128</v>
      </c>
      <c r="C59" s="393">
        <v>43.63</v>
      </c>
      <c r="D59" s="384" t="s">
        <v>129</v>
      </c>
      <c r="E59" s="385">
        <v>1640</v>
      </c>
      <c r="F59" s="386">
        <f>+C59*E59</f>
        <v>71553.2</v>
      </c>
      <c r="H59" s="395">
        <f>95/10.76</f>
        <v>8.828996282527882</v>
      </c>
    </row>
    <row r="60" spans="1:8" x14ac:dyDescent="0.25">
      <c r="A60" s="391"/>
      <c r="B60" s="392"/>
      <c r="C60" s="393"/>
      <c r="D60" s="384"/>
      <c r="E60" s="385"/>
      <c r="F60" s="386"/>
    </row>
    <row r="61" spans="1:8" s="387" customFormat="1" ht="27.6" x14ac:dyDescent="0.25">
      <c r="A61" s="381"/>
      <c r="B61" s="396" t="s">
        <v>139</v>
      </c>
      <c r="C61" s="397"/>
      <c r="D61" s="384"/>
      <c r="E61" s="385"/>
      <c r="F61" s="386"/>
      <c r="H61" s="388"/>
    </row>
    <row r="62" spans="1:8" ht="41.4" x14ac:dyDescent="0.25">
      <c r="A62" s="391" t="s">
        <v>405</v>
      </c>
      <c r="B62" s="392" t="s">
        <v>130</v>
      </c>
      <c r="C62" s="393">
        <v>18.2</v>
      </c>
      <c r="D62" s="384" t="s">
        <v>131</v>
      </c>
      <c r="E62" s="385">
        <v>3450</v>
      </c>
      <c r="F62" s="386">
        <f>+C62*E62</f>
        <v>62790</v>
      </c>
    </row>
    <row r="63" spans="1:8" s="387" customFormat="1" x14ac:dyDescent="0.25">
      <c r="A63" s="381"/>
      <c r="B63" s="398"/>
      <c r="C63" s="399"/>
      <c r="D63" s="384"/>
      <c r="E63" s="385"/>
      <c r="F63" s="386"/>
      <c r="H63" s="388"/>
    </row>
    <row r="64" spans="1:8" s="387" customFormat="1" ht="25.05" customHeight="1" x14ac:dyDescent="0.25">
      <c r="A64" s="381"/>
      <c r="B64" s="389" t="s">
        <v>142</v>
      </c>
      <c r="C64" s="390"/>
      <c r="D64" s="384"/>
      <c r="E64" s="385"/>
      <c r="F64" s="386"/>
      <c r="H64" s="388"/>
    </row>
    <row r="65" spans="1:8" s="387" customFormat="1" ht="15" customHeight="1" x14ac:dyDescent="0.25">
      <c r="A65" s="381"/>
      <c r="B65" s="389" t="s">
        <v>143</v>
      </c>
      <c r="C65" s="390"/>
      <c r="D65" s="384"/>
      <c r="E65" s="385"/>
      <c r="F65" s="386"/>
      <c r="H65" s="388"/>
    </row>
    <row r="66" spans="1:8" s="387" customFormat="1" ht="27.6" x14ac:dyDescent="0.25">
      <c r="A66" s="381"/>
      <c r="B66" s="396" t="s">
        <v>144</v>
      </c>
      <c r="C66" s="397"/>
      <c r="D66" s="384"/>
      <c r="E66" s="385"/>
      <c r="F66" s="386"/>
      <c r="H66" s="388"/>
    </row>
    <row r="67" spans="1:8" s="387" customFormat="1" ht="27.6" x14ac:dyDescent="0.25">
      <c r="A67" s="400" t="s">
        <v>145</v>
      </c>
      <c r="B67" s="396" t="s">
        <v>146</v>
      </c>
      <c r="C67" s="397"/>
      <c r="D67" s="384"/>
      <c r="E67" s="385"/>
      <c r="F67" s="386"/>
      <c r="H67" s="388"/>
    </row>
    <row r="68" spans="1:8" s="387" customFormat="1" ht="30.75" customHeight="1" x14ac:dyDescent="0.25">
      <c r="A68" s="400" t="s">
        <v>147</v>
      </c>
      <c r="B68" s="396" t="s">
        <v>148</v>
      </c>
      <c r="C68" s="397"/>
      <c r="D68" s="384"/>
      <c r="E68" s="385"/>
      <c r="F68" s="386"/>
      <c r="H68" s="388"/>
    </row>
    <row r="69" spans="1:8" s="387" customFormat="1" ht="43.05" customHeight="1" x14ac:dyDescent="0.25">
      <c r="A69" s="400" t="s">
        <v>149</v>
      </c>
      <c r="B69" s="396" t="s">
        <v>150</v>
      </c>
      <c r="C69" s="397"/>
      <c r="D69" s="384"/>
      <c r="E69" s="385"/>
      <c r="F69" s="386"/>
      <c r="H69" s="388"/>
    </row>
    <row r="70" spans="1:8" s="387" customFormat="1" ht="43.05" customHeight="1" x14ac:dyDescent="0.25">
      <c r="A70" s="400" t="s">
        <v>151</v>
      </c>
      <c r="B70" s="396" t="s">
        <v>152</v>
      </c>
      <c r="C70" s="397"/>
      <c r="D70" s="384"/>
      <c r="E70" s="385"/>
      <c r="F70" s="386"/>
      <c r="H70" s="388"/>
    </row>
    <row r="71" spans="1:8" x14ac:dyDescent="0.25">
      <c r="A71" s="391" t="s">
        <v>406</v>
      </c>
      <c r="B71" s="392" t="s">
        <v>334</v>
      </c>
      <c r="C71" s="393">
        <v>21.3</v>
      </c>
      <c r="D71" s="384" t="s">
        <v>131</v>
      </c>
      <c r="E71" s="385">
        <v>3570</v>
      </c>
      <c r="F71" s="386">
        <f>+C71*E71</f>
        <v>76041</v>
      </c>
      <c r="H71" s="395">
        <f>8.9+21.3</f>
        <v>30.200000000000003</v>
      </c>
    </row>
    <row r="72" spans="1:8" s="387" customFormat="1" ht="41.4" x14ac:dyDescent="0.25">
      <c r="A72" s="391" t="s">
        <v>140</v>
      </c>
      <c r="B72" s="398" t="s">
        <v>335</v>
      </c>
      <c r="C72" s="399"/>
      <c r="D72" s="384" t="s">
        <v>153</v>
      </c>
      <c r="E72" s="385">
        <v>157</v>
      </c>
      <c r="F72" s="386"/>
      <c r="H72" s="388"/>
    </row>
    <row r="73" spans="1:8" s="387" customFormat="1" ht="82.8" x14ac:dyDescent="0.25">
      <c r="A73" s="391" t="s">
        <v>407</v>
      </c>
      <c r="B73" s="398" t="s">
        <v>336</v>
      </c>
      <c r="C73" s="393">
        <v>30.2</v>
      </c>
      <c r="D73" s="384" t="s">
        <v>131</v>
      </c>
      <c r="E73" s="385">
        <v>1470</v>
      </c>
      <c r="F73" s="386">
        <f t="shared" ref="F73" si="1">+C73*E73</f>
        <v>44394</v>
      </c>
      <c r="H73" s="388"/>
    </row>
    <row r="74" spans="1:8" s="387" customFormat="1" x14ac:dyDescent="0.25">
      <c r="A74" s="381"/>
      <c r="B74" s="398"/>
      <c r="C74" s="399"/>
      <c r="D74" s="384"/>
      <c r="E74" s="385"/>
      <c r="F74" s="386"/>
      <c r="H74" s="388"/>
    </row>
    <row r="75" spans="1:8" s="387" customFormat="1" x14ac:dyDescent="0.25">
      <c r="A75" s="381"/>
      <c r="B75" s="389" t="s">
        <v>154</v>
      </c>
      <c r="C75" s="390"/>
      <c r="D75" s="384"/>
      <c r="E75" s="385"/>
      <c r="F75" s="386"/>
      <c r="H75" s="388"/>
    </row>
    <row r="76" spans="1:8" s="336" customFormat="1" x14ac:dyDescent="0.25">
      <c r="A76" s="391" t="s">
        <v>408</v>
      </c>
      <c r="B76" s="398" t="s">
        <v>155</v>
      </c>
      <c r="C76" s="399"/>
      <c r="D76" s="384" t="s">
        <v>156</v>
      </c>
      <c r="E76" s="385">
        <v>3000</v>
      </c>
      <c r="F76" s="386"/>
      <c r="H76" s="337"/>
    </row>
    <row r="77" spans="1:8" s="336" customFormat="1" x14ac:dyDescent="0.25">
      <c r="A77" s="391" t="s">
        <v>409</v>
      </c>
      <c r="B77" s="398" t="s">
        <v>157</v>
      </c>
      <c r="C77" s="399"/>
      <c r="D77" s="384" t="s">
        <v>156</v>
      </c>
      <c r="E77" s="385">
        <v>4000</v>
      </c>
      <c r="F77" s="386"/>
      <c r="H77" s="337"/>
    </row>
    <row r="78" spans="1:8" s="387" customFormat="1" ht="34.5" customHeight="1" x14ac:dyDescent="0.25">
      <c r="A78" s="381"/>
      <c r="B78" s="401" t="s">
        <v>158</v>
      </c>
      <c r="C78" s="402"/>
      <c r="D78" s="384"/>
      <c r="E78" s="385"/>
      <c r="F78" s="386"/>
      <c r="H78" s="388"/>
    </row>
    <row r="79" spans="1:8" ht="112.05" customHeight="1" x14ac:dyDescent="0.25">
      <c r="A79" s="391" t="s">
        <v>410</v>
      </c>
      <c r="B79" s="392" t="s">
        <v>159</v>
      </c>
      <c r="C79" s="393">
        <v>4363</v>
      </c>
      <c r="D79" s="384" t="s">
        <v>141</v>
      </c>
      <c r="E79" s="385">
        <v>32</v>
      </c>
      <c r="F79" s="386">
        <f t="shared" ref="F79" si="2">+C79*E79</f>
        <v>139616</v>
      </c>
    </row>
    <row r="80" spans="1:8" x14ac:dyDescent="0.25">
      <c r="A80" s="391"/>
      <c r="B80" s="392"/>
      <c r="C80" s="393"/>
      <c r="D80" s="384"/>
      <c r="E80" s="385"/>
      <c r="F80" s="386"/>
    </row>
    <row r="81" spans="1:9" x14ac:dyDescent="0.25">
      <c r="A81" s="403"/>
      <c r="B81" s="404"/>
      <c r="C81" s="405"/>
      <c r="D81" s="406"/>
      <c r="E81" s="407"/>
      <c r="F81" s="408"/>
    </row>
    <row r="82" spans="1:9" s="387" customFormat="1" x14ac:dyDescent="0.25">
      <c r="A82" s="409"/>
      <c r="B82" s="410" t="s">
        <v>46</v>
      </c>
      <c r="C82" s="411"/>
      <c r="D82" s="412"/>
      <c r="E82" s="413"/>
      <c r="F82" s="414">
        <f>SUM(F59:F80)</f>
        <v>394394.2</v>
      </c>
      <c r="H82" s="388"/>
    </row>
    <row r="83" spans="1:9" s="387" customFormat="1" ht="28.05" customHeight="1" x14ac:dyDescent="0.25">
      <c r="A83" s="415"/>
      <c r="B83" s="416" t="s">
        <v>160</v>
      </c>
      <c r="C83" s="417"/>
      <c r="D83" s="418"/>
      <c r="E83" s="419"/>
      <c r="F83" s="420"/>
      <c r="H83" s="388"/>
    </row>
    <row r="84" spans="1:9" s="387" customFormat="1" ht="20.100000000000001" customHeight="1" x14ac:dyDescent="0.25">
      <c r="A84" s="381"/>
      <c r="B84" s="389" t="s">
        <v>161</v>
      </c>
      <c r="C84" s="390"/>
      <c r="D84" s="384"/>
      <c r="E84" s="385"/>
      <c r="F84" s="386"/>
      <c r="H84" s="388"/>
    </row>
    <row r="85" spans="1:9" s="387" customFormat="1" ht="55.05" customHeight="1" x14ac:dyDescent="0.25">
      <c r="A85" s="381"/>
      <c r="B85" s="396" t="s">
        <v>162</v>
      </c>
      <c r="C85" s="397"/>
      <c r="D85" s="384"/>
      <c r="E85" s="385"/>
      <c r="F85" s="386"/>
      <c r="H85" s="388"/>
    </row>
    <row r="86" spans="1:9" s="387" customFormat="1" x14ac:dyDescent="0.25">
      <c r="A86" s="381"/>
      <c r="B86" s="389" t="s">
        <v>340</v>
      </c>
      <c r="C86" s="397"/>
      <c r="D86" s="384"/>
      <c r="E86" s="385"/>
      <c r="F86" s="386"/>
      <c r="H86" s="388"/>
    </row>
    <row r="87" spans="1:9" s="387" customFormat="1" ht="28.05" customHeight="1" x14ac:dyDescent="0.25">
      <c r="A87" s="381"/>
      <c r="B87" s="389" t="s">
        <v>163</v>
      </c>
      <c r="C87" s="390"/>
      <c r="D87" s="384"/>
      <c r="E87" s="385"/>
      <c r="F87" s="386"/>
      <c r="H87" s="388"/>
    </row>
    <row r="88" spans="1:9" ht="55.2" x14ac:dyDescent="0.25">
      <c r="A88" s="391" t="s">
        <v>411</v>
      </c>
      <c r="B88" s="392" t="s">
        <v>337</v>
      </c>
      <c r="C88" s="393">
        <v>3.81</v>
      </c>
      <c r="D88" s="384" t="s">
        <v>129</v>
      </c>
      <c r="E88" s="385">
        <v>6235</v>
      </c>
      <c r="F88" s="386">
        <f t="shared" ref="F88" si="3">+C88*E88</f>
        <v>23755.35</v>
      </c>
      <c r="H88" s="388">
        <f>14292*2.83</f>
        <v>40446.36</v>
      </c>
    </row>
    <row r="89" spans="1:9" x14ac:dyDescent="0.25">
      <c r="A89" s="391"/>
      <c r="B89" s="392"/>
      <c r="C89" s="393"/>
      <c r="D89" s="384"/>
      <c r="E89" s="385"/>
      <c r="F89" s="386"/>
    </row>
    <row r="90" spans="1:9" s="387" customFormat="1" ht="28.05" customHeight="1" x14ac:dyDescent="0.25">
      <c r="A90" s="381"/>
      <c r="B90" s="389" t="s">
        <v>166</v>
      </c>
      <c r="C90" s="390"/>
      <c r="D90" s="384"/>
      <c r="E90" s="385"/>
      <c r="F90" s="386"/>
      <c r="H90" s="388"/>
    </row>
    <row r="91" spans="1:9" s="387" customFormat="1" x14ac:dyDescent="0.25">
      <c r="A91" s="381"/>
      <c r="B91" s="389"/>
      <c r="C91" s="390"/>
      <c r="D91" s="384"/>
      <c r="E91" s="385"/>
      <c r="F91" s="386"/>
      <c r="H91" s="388"/>
    </row>
    <row r="92" spans="1:9" s="387" customFormat="1" ht="55.2" x14ac:dyDescent="0.25">
      <c r="A92" s="391" t="s">
        <v>164</v>
      </c>
      <c r="B92" s="398" t="s">
        <v>339</v>
      </c>
      <c r="C92" s="390"/>
      <c r="D92" s="384"/>
      <c r="E92" s="385"/>
      <c r="F92" s="386"/>
      <c r="H92" s="388"/>
    </row>
    <row r="93" spans="1:9" s="336" customFormat="1" x14ac:dyDescent="0.25">
      <c r="A93" s="421" t="s">
        <v>412</v>
      </c>
      <c r="B93" s="398" t="s">
        <v>108</v>
      </c>
      <c r="C93" s="399">
        <v>13.86</v>
      </c>
      <c r="D93" s="384" t="s">
        <v>131</v>
      </c>
      <c r="E93" s="385">
        <v>46030</v>
      </c>
      <c r="F93" s="386">
        <f>C93*E93</f>
        <v>637975.79999999993</v>
      </c>
      <c r="H93" s="337">
        <f>+C93/2.83</f>
        <v>4.8975265017667837</v>
      </c>
      <c r="I93" s="336">
        <v>4.8975265017667837</v>
      </c>
    </row>
    <row r="94" spans="1:9" s="336" customFormat="1" x14ac:dyDescent="0.25">
      <c r="A94" s="421" t="s">
        <v>413</v>
      </c>
      <c r="B94" s="398" t="s">
        <v>98</v>
      </c>
      <c r="C94" s="399">
        <v>1.77</v>
      </c>
      <c r="D94" s="384" t="s">
        <v>131</v>
      </c>
      <c r="E94" s="385">
        <v>46030</v>
      </c>
      <c r="F94" s="386">
        <f>C94*E94</f>
        <v>81473.100000000006</v>
      </c>
      <c r="H94" s="337">
        <f t="shared" ref="H94:H96" si="4">+C94/2.83</f>
        <v>0.62544169611307421</v>
      </c>
      <c r="I94" s="336">
        <v>0.62544169611307421</v>
      </c>
    </row>
    <row r="95" spans="1:9" s="336" customFormat="1" x14ac:dyDescent="0.25">
      <c r="A95" s="421" t="s">
        <v>414</v>
      </c>
      <c r="B95" s="398" t="s">
        <v>99</v>
      </c>
      <c r="C95" s="399">
        <v>17.63</v>
      </c>
      <c r="D95" s="384" t="s">
        <v>131</v>
      </c>
      <c r="E95" s="385">
        <v>46030</v>
      </c>
      <c r="F95" s="386">
        <f>C95*E95</f>
        <v>811508.89999999991</v>
      </c>
      <c r="H95" s="337">
        <f t="shared" si="4"/>
        <v>6.2296819787985864</v>
      </c>
      <c r="I95" s="336">
        <v>6.2296819787985864</v>
      </c>
    </row>
    <row r="96" spans="1:9" s="336" customFormat="1" x14ac:dyDescent="0.25">
      <c r="A96" s="421" t="s">
        <v>415</v>
      </c>
      <c r="B96" s="398" t="s">
        <v>100</v>
      </c>
      <c r="C96" s="399">
        <v>1.07</v>
      </c>
      <c r="D96" s="384" t="s">
        <v>131</v>
      </c>
      <c r="E96" s="385">
        <v>46030</v>
      </c>
      <c r="F96" s="386">
        <f>C96*E96</f>
        <v>49252.100000000006</v>
      </c>
      <c r="H96" s="337">
        <f t="shared" si="4"/>
        <v>0.37809187279151946</v>
      </c>
      <c r="I96" s="336">
        <v>0.37809187279151946</v>
      </c>
    </row>
    <row r="97" spans="1:9" s="336" customFormat="1" x14ac:dyDescent="0.25">
      <c r="A97" s="421"/>
      <c r="B97" s="398"/>
      <c r="C97" s="399"/>
      <c r="D97" s="384"/>
      <c r="E97" s="385"/>
      <c r="F97" s="386"/>
      <c r="H97" s="337"/>
    </row>
    <row r="98" spans="1:9" s="387" customFormat="1" ht="69" x14ac:dyDescent="0.25">
      <c r="A98" s="391" t="s">
        <v>416</v>
      </c>
      <c r="B98" s="398" t="s">
        <v>338</v>
      </c>
      <c r="C98" s="393"/>
      <c r="D98" s="384"/>
      <c r="E98" s="385"/>
      <c r="F98" s="386"/>
      <c r="H98" s="388">
        <f>18.76/2.83</f>
        <v>6.6289752650176679</v>
      </c>
    </row>
    <row r="99" spans="1:9" s="387" customFormat="1" x14ac:dyDescent="0.3">
      <c r="A99" s="421" t="s">
        <v>417</v>
      </c>
      <c r="B99" s="422" t="s">
        <v>341</v>
      </c>
      <c r="C99" s="393">
        <v>6.63</v>
      </c>
      <c r="D99" s="384" t="s">
        <v>131</v>
      </c>
      <c r="E99" s="385">
        <v>37095</v>
      </c>
      <c r="F99" s="386">
        <f t="shared" ref="F99:F101" si="5">+C99*E99</f>
        <v>245939.85</v>
      </c>
      <c r="H99" s="423">
        <v>2.5</v>
      </c>
      <c r="I99" s="387">
        <f>+H99/2.83</f>
        <v>0.88339222614840984</v>
      </c>
    </row>
    <row r="100" spans="1:9" s="387" customFormat="1" x14ac:dyDescent="0.3">
      <c r="A100" s="421" t="s">
        <v>418</v>
      </c>
      <c r="B100" s="422" t="s">
        <v>102</v>
      </c>
      <c r="C100" s="393">
        <v>0.88</v>
      </c>
      <c r="D100" s="384" t="s">
        <v>131</v>
      </c>
      <c r="E100" s="385">
        <v>37095</v>
      </c>
      <c r="F100" s="386">
        <f t="shared" si="5"/>
        <v>32643.599999999999</v>
      </c>
      <c r="H100" s="423"/>
    </row>
    <row r="101" spans="1:9" s="387" customFormat="1" x14ac:dyDescent="0.3">
      <c r="A101" s="421" t="s">
        <v>419</v>
      </c>
      <c r="B101" s="422" t="s">
        <v>903</v>
      </c>
      <c r="C101" s="393">
        <v>0.23</v>
      </c>
      <c r="D101" s="384" t="s">
        <v>131</v>
      </c>
      <c r="E101" s="385">
        <v>37095</v>
      </c>
      <c r="F101" s="386">
        <f t="shared" si="5"/>
        <v>8531.85</v>
      </c>
      <c r="H101" s="423">
        <v>0.65</v>
      </c>
      <c r="I101" s="387">
        <f>+H101/2.83</f>
        <v>0.22968197879858657</v>
      </c>
    </row>
    <row r="102" spans="1:9" s="387" customFormat="1" ht="14.4" thickBot="1" x14ac:dyDescent="0.3">
      <c r="A102" s="391"/>
      <c r="B102" s="398"/>
      <c r="C102" s="393"/>
      <c r="D102" s="384"/>
      <c r="E102" s="385"/>
      <c r="F102" s="386"/>
      <c r="H102" s="388"/>
    </row>
    <row r="103" spans="1:9" s="387" customFormat="1" ht="15.6" x14ac:dyDescent="0.25">
      <c r="A103" s="391"/>
      <c r="B103" s="424" t="s">
        <v>47</v>
      </c>
      <c r="C103" s="393"/>
      <c r="D103" s="384"/>
      <c r="E103" s="385"/>
      <c r="F103" s="386"/>
      <c r="H103" s="388"/>
    </row>
    <row r="104" spans="1:9" s="387" customFormat="1" x14ac:dyDescent="0.25">
      <c r="A104" s="391"/>
      <c r="B104" s="398"/>
      <c r="C104" s="393"/>
      <c r="D104" s="384"/>
      <c r="E104" s="385"/>
      <c r="F104" s="386"/>
      <c r="H104" s="388"/>
    </row>
    <row r="105" spans="1:9" s="387" customFormat="1" ht="55.2" x14ac:dyDescent="0.25">
      <c r="A105" s="391" t="s">
        <v>165</v>
      </c>
      <c r="B105" s="398" t="s">
        <v>339</v>
      </c>
      <c r="C105" s="393"/>
      <c r="D105" s="384"/>
      <c r="E105" s="385"/>
      <c r="F105" s="386"/>
      <c r="H105" s="388"/>
    </row>
    <row r="106" spans="1:9" s="336" customFormat="1" x14ac:dyDescent="0.25">
      <c r="A106" s="421" t="s">
        <v>420</v>
      </c>
      <c r="B106" s="398" t="s">
        <v>48</v>
      </c>
      <c r="C106" s="399">
        <v>2.31</v>
      </c>
      <c r="D106" s="384" t="s">
        <v>131</v>
      </c>
      <c r="E106" s="385">
        <v>46030</v>
      </c>
      <c r="F106" s="386">
        <f>C106*E106</f>
        <v>106329.3</v>
      </c>
      <c r="H106" s="388"/>
      <c r="I106" s="387"/>
    </row>
    <row r="107" spans="1:9" s="336" customFormat="1" x14ac:dyDescent="0.25">
      <c r="A107" s="421" t="s">
        <v>422</v>
      </c>
      <c r="B107" s="398" t="s">
        <v>49</v>
      </c>
      <c r="C107" s="399">
        <v>1.83</v>
      </c>
      <c r="D107" s="384" t="s">
        <v>131</v>
      </c>
      <c r="E107" s="385">
        <v>47410</v>
      </c>
      <c r="F107" s="386">
        <f t="shared" ref="F107:F109" si="6">C107*E107</f>
        <v>86760.3</v>
      </c>
      <c r="H107" s="388"/>
      <c r="I107" s="387"/>
    </row>
    <row r="108" spans="1:9" s="336" customFormat="1" x14ac:dyDescent="0.25">
      <c r="A108" s="421" t="s">
        <v>421</v>
      </c>
      <c r="B108" s="398" t="s">
        <v>109</v>
      </c>
      <c r="C108" s="399">
        <v>1.3</v>
      </c>
      <c r="D108" s="384" t="s">
        <v>131</v>
      </c>
      <c r="E108" s="385">
        <v>48330</v>
      </c>
      <c r="F108" s="386">
        <f t="shared" si="6"/>
        <v>62829</v>
      </c>
      <c r="H108" s="388"/>
      <c r="I108" s="387"/>
    </row>
    <row r="109" spans="1:9" s="336" customFormat="1" x14ac:dyDescent="0.25">
      <c r="A109" s="421" t="s">
        <v>423</v>
      </c>
      <c r="B109" s="398" t="s">
        <v>110</v>
      </c>
      <c r="C109" s="399">
        <v>0.8</v>
      </c>
      <c r="D109" s="384" t="s">
        <v>131</v>
      </c>
      <c r="E109" s="385">
        <v>49250</v>
      </c>
      <c r="F109" s="386">
        <f t="shared" si="6"/>
        <v>39400</v>
      </c>
      <c r="H109" s="388"/>
      <c r="I109" s="387"/>
    </row>
    <row r="110" spans="1:9" s="387" customFormat="1" x14ac:dyDescent="0.25">
      <c r="A110" s="391"/>
      <c r="B110" s="398"/>
      <c r="C110" s="393"/>
      <c r="D110" s="384"/>
      <c r="E110" s="385"/>
      <c r="F110" s="386"/>
      <c r="H110" s="388"/>
    </row>
    <row r="111" spans="1:9" s="387" customFormat="1" x14ac:dyDescent="0.25">
      <c r="A111" s="391"/>
      <c r="B111" s="398"/>
      <c r="C111" s="393"/>
      <c r="D111" s="384"/>
      <c r="E111" s="385"/>
      <c r="F111" s="386"/>
      <c r="H111" s="388"/>
    </row>
    <row r="112" spans="1:9" s="387" customFormat="1" x14ac:dyDescent="0.25">
      <c r="A112" s="381"/>
      <c r="B112" s="389" t="s">
        <v>169</v>
      </c>
      <c r="C112" s="390"/>
      <c r="D112" s="384"/>
      <c r="E112" s="385"/>
      <c r="F112" s="386"/>
      <c r="H112" s="388"/>
    </row>
    <row r="113" spans="1:12" ht="55.2" x14ac:dyDescent="0.25">
      <c r="A113" s="391" t="s">
        <v>424</v>
      </c>
      <c r="B113" s="392" t="s">
        <v>347</v>
      </c>
      <c r="C113" s="393"/>
      <c r="D113" s="384"/>
      <c r="E113" s="385">
        <v>14690</v>
      </c>
      <c r="F113" s="386"/>
    </row>
    <row r="114" spans="1:12" s="336" customFormat="1" x14ac:dyDescent="0.25">
      <c r="A114" s="421" t="s">
        <v>425</v>
      </c>
      <c r="B114" s="398" t="s">
        <v>50</v>
      </c>
      <c r="C114" s="399">
        <v>15.33</v>
      </c>
      <c r="D114" s="384" t="s">
        <v>170</v>
      </c>
      <c r="E114" s="385">
        <v>14690</v>
      </c>
      <c r="F114" s="386">
        <f>C114*E114</f>
        <v>225197.7</v>
      </c>
      <c r="H114" s="388">
        <f>+C114+C119+C124</f>
        <v>50.440000000000005</v>
      </c>
      <c r="I114" s="387">
        <f>+H114*E113+H114*500+21750+725*20.44</f>
        <v>802752.60000000009</v>
      </c>
      <c r="J114" s="336">
        <f>236.65*5.25</f>
        <v>1242.4125000000001</v>
      </c>
      <c r="K114" s="336">
        <f>SUM(I114:J114)</f>
        <v>803995.01250000007</v>
      </c>
      <c r="L114" s="336">
        <f>+K114/H114</f>
        <v>15939.631492862807</v>
      </c>
    </row>
    <row r="115" spans="1:12" s="336" customFormat="1" x14ac:dyDescent="0.25">
      <c r="A115" s="421" t="s">
        <v>426</v>
      </c>
      <c r="B115" s="398" t="s">
        <v>51</v>
      </c>
      <c r="C115" s="399">
        <v>13.83</v>
      </c>
      <c r="D115" s="384" t="s">
        <v>170</v>
      </c>
      <c r="E115" s="385">
        <v>14690</v>
      </c>
      <c r="F115" s="386">
        <f>C115*E115</f>
        <v>203162.7</v>
      </c>
      <c r="H115" s="388">
        <f>+C115+C120+C125</f>
        <v>48.940000000000005</v>
      </c>
      <c r="I115" s="387">
        <f>+H115*E113+H115*500+21750+725*18.94</f>
        <v>778880.10000000009</v>
      </c>
      <c r="J115" s="336">
        <f>236.65*5.25</f>
        <v>1242.4125000000001</v>
      </c>
      <c r="K115" s="336">
        <f>SUM(I115:J115)</f>
        <v>780122.51250000007</v>
      </c>
      <c r="L115" s="336">
        <f>+K115/H115</f>
        <v>15940.386442582754</v>
      </c>
    </row>
    <row r="116" spans="1:12" s="336" customFormat="1" x14ac:dyDescent="0.25">
      <c r="A116" s="421" t="s">
        <v>427</v>
      </c>
      <c r="B116" s="398" t="s">
        <v>111</v>
      </c>
      <c r="C116" s="399">
        <v>7.35</v>
      </c>
      <c r="D116" s="384" t="s">
        <v>170</v>
      </c>
      <c r="E116" s="385">
        <v>14690</v>
      </c>
      <c r="F116" s="386">
        <f>C116*E116</f>
        <v>107971.5</v>
      </c>
      <c r="H116" s="388">
        <f>+C116+C121</f>
        <v>11.71</v>
      </c>
      <c r="I116" s="387"/>
    </row>
    <row r="117" spans="1:12" s="336" customFormat="1" x14ac:dyDescent="0.25">
      <c r="A117" s="421" t="s">
        <v>428</v>
      </c>
      <c r="B117" s="398" t="s">
        <v>112</v>
      </c>
      <c r="C117" s="399">
        <v>2.67</v>
      </c>
      <c r="D117" s="384" t="s">
        <v>170</v>
      </c>
      <c r="E117" s="385">
        <v>14690</v>
      </c>
      <c r="F117" s="386">
        <f>C117*E117</f>
        <v>39222.299999999996</v>
      </c>
      <c r="H117" s="388">
        <f>+C117+C122</f>
        <v>7.03</v>
      </c>
      <c r="I117" s="387"/>
    </row>
    <row r="118" spans="1:12" s="336" customFormat="1" x14ac:dyDescent="0.25">
      <c r="A118" s="421"/>
      <c r="B118" s="398"/>
      <c r="C118" s="399"/>
      <c r="D118" s="384"/>
      <c r="E118" s="385"/>
      <c r="F118" s="386"/>
      <c r="H118" s="388"/>
      <c r="I118" s="387"/>
    </row>
    <row r="119" spans="1:12" s="336" customFormat="1" x14ac:dyDescent="0.25">
      <c r="A119" s="421" t="s">
        <v>429</v>
      </c>
      <c r="B119" s="398" t="s">
        <v>52</v>
      </c>
      <c r="C119" s="399">
        <v>30.91</v>
      </c>
      <c r="D119" s="384" t="s">
        <v>170</v>
      </c>
      <c r="E119" s="385">
        <v>14690</v>
      </c>
      <c r="F119" s="386">
        <f>C119*E119</f>
        <v>454067.9</v>
      </c>
      <c r="H119" s="388">
        <f>SUM(H114:H115)</f>
        <v>99.38000000000001</v>
      </c>
      <c r="I119" s="387"/>
    </row>
    <row r="120" spans="1:12" s="336" customFormat="1" x14ac:dyDescent="0.25">
      <c r="A120" s="421" t="s">
        <v>430</v>
      </c>
      <c r="B120" s="398" t="s">
        <v>53</v>
      </c>
      <c r="C120" s="399">
        <v>30.91</v>
      </c>
      <c r="D120" s="384" t="s">
        <v>170</v>
      </c>
      <c r="E120" s="385">
        <v>14690</v>
      </c>
      <c r="F120" s="386">
        <f>C120*E120</f>
        <v>454067.9</v>
      </c>
      <c r="H120" s="388"/>
      <c r="I120" s="387"/>
    </row>
    <row r="121" spans="1:12" s="336" customFormat="1" x14ac:dyDescent="0.25">
      <c r="A121" s="421" t="s">
        <v>431</v>
      </c>
      <c r="B121" s="398" t="s">
        <v>114</v>
      </c>
      <c r="C121" s="399">
        <v>4.3600000000000003</v>
      </c>
      <c r="D121" s="384" t="s">
        <v>170</v>
      </c>
      <c r="E121" s="385">
        <v>14690</v>
      </c>
      <c r="F121" s="386">
        <f>C121*E121</f>
        <v>64048.4</v>
      </c>
      <c r="H121" s="388"/>
      <c r="I121" s="387"/>
    </row>
    <row r="122" spans="1:12" s="336" customFormat="1" x14ac:dyDescent="0.25">
      <c r="A122" s="421" t="s">
        <v>432</v>
      </c>
      <c r="B122" s="398" t="s">
        <v>115</v>
      </c>
      <c r="C122" s="399">
        <v>4.3600000000000003</v>
      </c>
      <c r="D122" s="384" t="s">
        <v>170</v>
      </c>
      <c r="E122" s="385">
        <v>14690</v>
      </c>
      <c r="F122" s="386">
        <f>C122*E122</f>
        <v>64048.4</v>
      </c>
      <c r="H122" s="388"/>
      <c r="I122" s="387"/>
    </row>
    <row r="123" spans="1:12" s="336" customFormat="1" x14ac:dyDescent="0.25">
      <c r="A123" s="421"/>
      <c r="B123" s="398"/>
      <c r="C123" s="399"/>
      <c r="D123" s="384"/>
      <c r="E123" s="385"/>
      <c r="F123" s="386"/>
      <c r="H123" s="388"/>
      <c r="I123" s="387"/>
    </row>
    <row r="124" spans="1:12" s="336" customFormat="1" x14ac:dyDescent="0.25">
      <c r="A124" s="421" t="s">
        <v>433</v>
      </c>
      <c r="B124" s="398" t="s">
        <v>54</v>
      </c>
      <c r="C124" s="399">
        <v>4.2</v>
      </c>
      <c r="D124" s="384" t="s">
        <v>170</v>
      </c>
      <c r="E124" s="385">
        <v>14690</v>
      </c>
      <c r="F124" s="386">
        <f>C124*E124</f>
        <v>61698</v>
      </c>
      <c r="H124" s="388"/>
      <c r="I124" s="387"/>
      <c r="J124" s="336">
        <f>C116+C117+C121+C122+C124+C125</f>
        <v>27.139999999999997</v>
      </c>
    </row>
    <row r="125" spans="1:12" s="336" customFormat="1" x14ac:dyDescent="0.25">
      <c r="A125" s="421" t="s">
        <v>434</v>
      </c>
      <c r="B125" s="398" t="s">
        <v>55</v>
      </c>
      <c r="C125" s="399">
        <v>4.2</v>
      </c>
      <c r="D125" s="384" t="s">
        <v>170</v>
      </c>
      <c r="E125" s="385">
        <v>14690</v>
      </c>
      <c r="F125" s="386">
        <f>C125*E125</f>
        <v>61698</v>
      </c>
      <c r="H125" s="388"/>
      <c r="I125" s="387"/>
    </row>
    <row r="126" spans="1:12" s="336" customFormat="1" x14ac:dyDescent="0.25">
      <c r="A126" s="421"/>
      <c r="B126" s="398"/>
      <c r="C126" s="399"/>
      <c r="D126" s="384"/>
      <c r="E126" s="385"/>
      <c r="F126" s="386"/>
      <c r="H126" s="388"/>
      <c r="I126" s="387"/>
    </row>
    <row r="127" spans="1:12" s="387" customFormat="1" ht="16.8" x14ac:dyDescent="0.25">
      <c r="A127" s="421" t="s">
        <v>435</v>
      </c>
      <c r="B127" s="398" t="s">
        <v>171</v>
      </c>
      <c r="C127" s="399"/>
      <c r="D127" s="384" t="s">
        <v>172</v>
      </c>
      <c r="E127" s="385">
        <v>325</v>
      </c>
      <c r="F127" s="386"/>
      <c r="H127" s="388"/>
    </row>
    <row r="128" spans="1:12" s="387" customFormat="1" x14ac:dyDescent="0.25">
      <c r="A128" s="421" t="s">
        <v>436</v>
      </c>
      <c r="B128" s="398" t="s">
        <v>173</v>
      </c>
      <c r="C128" s="399">
        <v>118.12</v>
      </c>
      <c r="D128" s="384" t="s">
        <v>170</v>
      </c>
      <c r="E128" s="385">
        <v>500</v>
      </c>
      <c r="F128" s="386">
        <f>C128*E128</f>
        <v>59060</v>
      </c>
      <c r="H128" s="388">
        <f>C114+C115+C116+C117+C119+C120+C121+C122+C124+C125</f>
        <v>118.12</v>
      </c>
    </row>
    <row r="129" spans="1:9" s="387" customFormat="1" ht="16.8" x14ac:dyDescent="0.25">
      <c r="A129" s="421" t="s">
        <v>437</v>
      </c>
      <c r="B129" s="398" t="s">
        <v>342</v>
      </c>
      <c r="C129" s="399">
        <v>4</v>
      </c>
      <c r="D129" s="384" t="s">
        <v>78</v>
      </c>
      <c r="E129" s="385">
        <v>21750</v>
      </c>
      <c r="F129" s="386">
        <f>C129*E129</f>
        <v>87000</v>
      </c>
      <c r="H129" s="388">
        <f>H128/5</f>
        <v>23.624000000000002</v>
      </c>
      <c r="I129" s="387">
        <f>H129*3</f>
        <v>70.872000000000014</v>
      </c>
    </row>
    <row r="130" spans="1:9" ht="33.6" x14ac:dyDescent="0.25">
      <c r="A130" s="421" t="s">
        <v>438</v>
      </c>
      <c r="B130" s="392" t="s">
        <v>343</v>
      </c>
      <c r="C130" s="393">
        <v>39.380000000000003</v>
      </c>
      <c r="D130" s="384" t="s">
        <v>170</v>
      </c>
      <c r="E130" s="385">
        <v>725</v>
      </c>
      <c r="F130" s="386">
        <f t="shared" ref="F130:F132" si="7">C130*E130</f>
        <v>28550.500000000004</v>
      </c>
      <c r="G130" s="387"/>
      <c r="H130" s="388"/>
    </row>
    <row r="131" spans="1:9" ht="27.6" x14ac:dyDescent="0.25">
      <c r="A131" s="421" t="s">
        <v>439</v>
      </c>
      <c r="B131" s="425" t="s">
        <v>344</v>
      </c>
      <c r="C131" s="393">
        <f>532*10.76</f>
        <v>5724.32</v>
      </c>
      <c r="D131" s="384" t="s">
        <v>346</v>
      </c>
      <c r="E131" s="385">
        <v>5.25</v>
      </c>
      <c r="F131" s="386">
        <f t="shared" si="7"/>
        <v>30052.68</v>
      </c>
      <c r="G131" s="387"/>
      <c r="H131" s="388"/>
    </row>
    <row r="132" spans="1:9" ht="55.2" x14ac:dyDescent="0.25">
      <c r="A132" s="421" t="s">
        <v>440</v>
      </c>
      <c r="B132" s="392" t="s">
        <v>345</v>
      </c>
      <c r="C132" s="393">
        <v>72</v>
      </c>
      <c r="D132" s="384" t="s">
        <v>78</v>
      </c>
      <c r="E132" s="385">
        <v>1155</v>
      </c>
      <c r="F132" s="386">
        <f t="shared" si="7"/>
        <v>83160</v>
      </c>
      <c r="G132" s="387"/>
      <c r="H132" s="388"/>
    </row>
    <row r="133" spans="1:9" x14ac:dyDescent="0.25">
      <c r="A133" s="421"/>
      <c r="B133" s="392"/>
      <c r="C133" s="393"/>
      <c r="D133" s="384"/>
      <c r="E133" s="385"/>
      <c r="F133" s="386"/>
      <c r="G133" s="387"/>
      <c r="H133" s="388"/>
    </row>
    <row r="134" spans="1:9" x14ac:dyDescent="0.25">
      <c r="A134" s="421"/>
      <c r="B134" s="392"/>
      <c r="C134" s="393"/>
      <c r="D134" s="384"/>
      <c r="E134" s="385"/>
      <c r="F134" s="386"/>
      <c r="G134" s="387"/>
      <c r="H134" s="388"/>
    </row>
    <row r="135" spans="1:9" s="387" customFormat="1" x14ac:dyDescent="0.25">
      <c r="A135" s="409"/>
      <c r="B135" s="410" t="s">
        <v>46</v>
      </c>
      <c r="C135" s="411"/>
      <c r="D135" s="412"/>
      <c r="E135" s="413"/>
      <c r="F135" s="414">
        <f>SUM(F88:F133)</f>
        <v>4209405.1300000008</v>
      </c>
      <c r="H135" s="388"/>
    </row>
    <row r="136" spans="1:9" s="429" customFormat="1" ht="28.05" customHeight="1" x14ac:dyDescent="0.25">
      <c r="A136" s="400"/>
      <c r="B136" s="401" t="s">
        <v>174</v>
      </c>
      <c r="C136" s="402"/>
      <c r="D136" s="426"/>
      <c r="E136" s="427"/>
      <c r="F136" s="428"/>
      <c r="H136" s="430"/>
    </row>
    <row r="137" spans="1:9" s="429" customFormat="1" ht="20.100000000000001" customHeight="1" x14ac:dyDescent="0.25">
      <c r="A137" s="400"/>
      <c r="B137" s="389" t="s">
        <v>175</v>
      </c>
      <c r="C137" s="390"/>
      <c r="D137" s="426"/>
      <c r="E137" s="427"/>
      <c r="F137" s="428"/>
      <c r="H137" s="430"/>
    </row>
    <row r="138" spans="1:9" s="429" customFormat="1" ht="88.05" customHeight="1" x14ac:dyDescent="0.25">
      <c r="A138" s="400" t="s">
        <v>176</v>
      </c>
      <c r="B138" s="396" t="s">
        <v>177</v>
      </c>
      <c r="C138" s="397"/>
      <c r="D138" s="426"/>
      <c r="E138" s="427"/>
      <c r="F138" s="428"/>
      <c r="H138" s="430"/>
    </row>
    <row r="139" spans="1:9" s="429" customFormat="1" ht="88.05" customHeight="1" x14ac:dyDescent="0.25">
      <c r="A139" s="400" t="s">
        <v>178</v>
      </c>
      <c r="B139" s="396" t="s">
        <v>179</v>
      </c>
      <c r="C139" s="397"/>
      <c r="D139" s="426"/>
      <c r="E139" s="427"/>
      <c r="F139" s="428"/>
      <c r="H139" s="430"/>
    </row>
    <row r="140" spans="1:9" s="429" customFormat="1" ht="58.5" customHeight="1" x14ac:dyDescent="0.25">
      <c r="A140" s="400" t="s">
        <v>180</v>
      </c>
      <c r="B140" s="396" t="s">
        <v>181</v>
      </c>
      <c r="C140" s="397"/>
      <c r="D140" s="426"/>
      <c r="E140" s="427"/>
      <c r="F140" s="428"/>
      <c r="H140" s="430"/>
    </row>
    <row r="141" spans="1:9" ht="27.6" x14ac:dyDescent="0.25">
      <c r="A141" s="391" t="s">
        <v>182</v>
      </c>
      <c r="B141" s="392" t="s">
        <v>183</v>
      </c>
      <c r="C141" s="393"/>
      <c r="D141" s="384"/>
      <c r="E141" s="385"/>
      <c r="F141" s="386"/>
      <c r="G141" s="387"/>
      <c r="H141" s="388">
        <f>35.04*10.76</f>
        <v>377.03039999999999</v>
      </c>
    </row>
    <row r="142" spans="1:9" x14ac:dyDescent="0.25">
      <c r="A142" s="391" t="s">
        <v>441</v>
      </c>
      <c r="B142" s="392" t="s">
        <v>108</v>
      </c>
      <c r="C142" s="393">
        <v>3.77</v>
      </c>
      <c r="D142" s="384" t="s">
        <v>129</v>
      </c>
      <c r="E142" s="385">
        <v>3725</v>
      </c>
      <c r="F142" s="386">
        <f t="shared" ref="F142:F144" si="8">C142*E142</f>
        <v>14043.25</v>
      </c>
      <c r="G142" s="387"/>
      <c r="H142" s="388"/>
    </row>
    <row r="143" spans="1:9" x14ac:dyDescent="0.25">
      <c r="A143" s="391" t="s">
        <v>442</v>
      </c>
      <c r="B143" s="392" t="s">
        <v>102</v>
      </c>
      <c r="C143" s="393">
        <v>0.61</v>
      </c>
      <c r="D143" s="384" t="s">
        <v>129</v>
      </c>
      <c r="E143" s="385">
        <v>3725</v>
      </c>
      <c r="F143" s="386">
        <f t="shared" si="8"/>
        <v>2272.25</v>
      </c>
      <c r="G143" s="387"/>
      <c r="H143" s="388">
        <f>+C143*10.76</f>
        <v>6.5636000000000001</v>
      </c>
    </row>
    <row r="144" spans="1:9" x14ac:dyDescent="0.25">
      <c r="A144" s="391" t="s">
        <v>443</v>
      </c>
      <c r="B144" s="392" t="s">
        <v>113</v>
      </c>
      <c r="C144" s="393">
        <v>0.12</v>
      </c>
      <c r="D144" s="384" t="s">
        <v>129</v>
      </c>
      <c r="E144" s="385">
        <v>3725</v>
      </c>
      <c r="F144" s="386">
        <f t="shared" si="8"/>
        <v>447</v>
      </c>
      <c r="G144" s="387"/>
      <c r="H144" s="388">
        <f>+C144*10.76</f>
        <v>1.2911999999999999</v>
      </c>
    </row>
    <row r="145" spans="1:9" x14ac:dyDescent="0.25">
      <c r="A145" s="391"/>
      <c r="B145" s="392"/>
      <c r="C145" s="393"/>
      <c r="D145" s="384"/>
      <c r="E145" s="385"/>
      <c r="F145" s="386"/>
      <c r="G145" s="387"/>
      <c r="H145" s="388"/>
    </row>
    <row r="146" spans="1:9" ht="38.1" customHeight="1" x14ac:dyDescent="0.25">
      <c r="A146" s="391" t="s">
        <v>184</v>
      </c>
      <c r="B146" s="392" t="s">
        <v>185</v>
      </c>
      <c r="C146" s="393">
        <v>11.35</v>
      </c>
      <c r="D146" s="384" t="s">
        <v>129</v>
      </c>
      <c r="E146" s="385">
        <v>13385</v>
      </c>
      <c r="F146" s="386">
        <f t="shared" ref="F146" si="9">C146*E146</f>
        <v>151919.75</v>
      </c>
      <c r="H146" s="395">
        <f>105.5*10.76</f>
        <v>1135.18</v>
      </c>
    </row>
    <row r="147" spans="1:9" x14ac:dyDescent="0.25">
      <c r="A147" s="391"/>
      <c r="B147" s="392"/>
      <c r="C147" s="393"/>
      <c r="D147" s="384"/>
      <c r="E147" s="385"/>
      <c r="F147" s="386"/>
    </row>
    <row r="148" spans="1:9" ht="22.5" customHeight="1" x14ac:dyDescent="0.25">
      <c r="A148" s="391" t="s">
        <v>186</v>
      </c>
      <c r="B148" s="392" t="s">
        <v>132</v>
      </c>
      <c r="C148" s="393"/>
      <c r="D148" s="384"/>
      <c r="E148" s="385"/>
      <c r="F148" s="386"/>
    </row>
    <row r="149" spans="1:9" x14ac:dyDescent="0.25">
      <c r="A149" s="391"/>
      <c r="B149" s="392" t="s">
        <v>348</v>
      </c>
      <c r="C149" s="393">
        <v>2.63</v>
      </c>
      <c r="D149" s="384" t="s">
        <v>129</v>
      </c>
      <c r="E149" s="385">
        <v>15850</v>
      </c>
      <c r="F149" s="386">
        <f t="shared" ref="F149:F153" si="10">C149*E149</f>
        <v>41685.5</v>
      </c>
      <c r="H149" s="395">
        <f>24.47*10.76</f>
        <v>263.29719999999998</v>
      </c>
    </row>
    <row r="150" spans="1:9" x14ac:dyDescent="0.25">
      <c r="A150" s="391" t="s">
        <v>445</v>
      </c>
      <c r="B150" s="392" t="s">
        <v>48</v>
      </c>
      <c r="C150" s="393">
        <v>10.06</v>
      </c>
      <c r="D150" s="384" t="s">
        <v>129</v>
      </c>
      <c r="E150" s="385">
        <f>+E149*1.03</f>
        <v>16325.5</v>
      </c>
      <c r="F150" s="386">
        <f t="shared" si="10"/>
        <v>164234.53</v>
      </c>
      <c r="H150" s="395">
        <f>+C150*10.76</f>
        <v>108.24560000000001</v>
      </c>
      <c r="I150" s="394">
        <v>1005.522</v>
      </c>
    </row>
    <row r="151" spans="1:9" x14ac:dyDescent="0.25">
      <c r="A151" s="391" t="s">
        <v>446</v>
      </c>
      <c r="B151" s="392" t="s">
        <v>49</v>
      </c>
      <c r="C151" s="393">
        <v>7.41</v>
      </c>
      <c r="D151" s="384" t="s">
        <v>129</v>
      </c>
      <c r="E151" s="385">
        <f>+E149*1.05</f>
        <v>16642.5</v>
      </c>
      <c r="F151" s="386">
        <f t="shared" si="10"/>
        <v>123320.925</v>
      </c>
      <c r="H151" s="395">
        <f t="shared" ref="H151:H153" si="11">+C151*10.76</f>
        <v>79.7316</v>
      </c>
      <c r="I151" s="394">
        <v>741.14879999999994</v>
      </c>
    </row>
    <row r="152" spans="1:9" x14ac:dyDescent="0.25">
      <c r="A152" s="391" t="s">
        <v>447</v>
      </c>
      <c r="B152" s="392" t="s">
        <v>109</v>
      </c>
      <c r="C152" s="393">
        <v>5.29</v>
      </c>
      <c r="D152" s="384" t="s">
        <v>129</v>
      </c>
      <c r="E152" s="385">
        <f>+E149*1.07</f>
        <v>16959.5</v>
      </c>
      <c r="F152" s="386">
        <f t="shared" si="10"/>
        <v>89715.755000000005</v>
      </c>
      <c r="H152" s="395">
        <f t="shared" si="11"/>
        <v>56.920400000000001</v>
      </c>
      <c r="I152" s="394">
        <v>529.39200000000005</v>
      </c>
    </row>
    <row r="153" spans="1:9" x14ac:dyDescent="0.25">
      <c r="A153" s="391" t="s">
        <v>448</v>
      </c>
      <c r="B153" s="392" t="s">
        <v>110</v>
      </c>
      <c r="C153" s="393">
        <v>3.24</v>
      </c>
      <c r="D153" s="384" t="s">
        <v>129</v>
      </c>
      <c r="E153" s="385">
        <f>+E149*1.1</f>
        <v>17435</v>
      </c>
      <c r="F153" s="386">
        <f t="shared" si="10"/>
        <v>56489.4</v>
      </c>
      <c r="H153" s="395">
        <f t="shared" si="11"/>
        <v>34.862400000000001</v>
      </c>
      <c r="I153" s="394">
        <v>324.09120000000001</v>
      </c>
    </row>
    <row r="154" spans="1:9" x14ac:dyDescent="0.25">
      <c r="A154" s="391"/>
      <c r="B154" s="392"/>
      <c r="C154" s="393"/>
      <c r="D154" s="384"/>
      <c r="E154" s="385"/>
      <c r="F154" s="386"/>
    </row>
    <row r="155" spans="1:9" ht="38.1" customHeight="1" x14ac:dyDescent="0.25">
      <c r="A155" s="391" t="s">
        <v>444</v>
      </c>
      <c r="B155" s="392" t="s">
        <v>349</v>
      </c>
      <c r="C155" s="393"/>
      <c r="D155" s="384" t="s">
        <v>129</v>
      </c>
      <c r="E155" s="385"/>
      <c r="F155" s="386"/>
    </row>
    <row r="156" spans="1:9" x14ac:dyDescent="0.25">
      <c r="A156" s="391" t="s">
        <v>449</v>
      </c>
      <c r="B156" s="392" t="s">
        <v>52</v>
      </c>
      <c r="C156" s="393">
        <v>25.46</v>
      </c>
      <c r="D156" s="384" t="s">
        <v>129</v>
      </c>
      <c r="E156" s="385">
        <v>13600</v>
      </c>
      <c r="F156" s="386">
        <f t="shared" ref="F156:F159" si="12">C156*E156</f>
        <v>346256</v>
      </c>
      <c r="H156" s="395">
        <f>+C156*10.76</f>
        <v>273.94959999999998</v>
      </c>
      <c r="I156" s="394">
        <v>25.46</v>
      </c>
    </row>
    <row r="157" spans="1:9" x14ac:dyDescent="0.25">
      <c r="A157" s="391" t="s">
        <v>450</v>
      </c>
      <c r="B157" s="392" t="s">
        <v>53</v>
      </c>
      <c r="C157" s="393">
        <v>25.46</v>
      </c>
      <c r="D157" s="384" t="s">
        <v>129</v>
      </c>
      <c r="E157" s="385">
        <f>+E156*1.03</f>
        <v>14008</v>
      </c>
      <c r="F157" s="386">
        <f t="shared" si="12"/>
        <v>356643.68</v>
      </c>
      <c r="H157" s="395">
        <f t="shared" ref="H157:H159" si="13">+C157*10.76</f>
        <v>273.94959999999998</v>
      </c>
      <c r="I157" s="394">
        <v>25.46</v>
      </c>
    </row>
    <row r="158" spans="1:9" x14ac:dyDescent="0.25">
      <c r="A158" s="391" t="s">
        <v>451</v>
      </c>
      <c r="B158" s="392" t="s">
        <v>114</v>
      </c>
      <c r="C158" s="393">
        <v>3.13</v>
      </c>
      <c r="D158" s="384" t="s">
        <v>129</v>
      </c>
      <c r="E158" s="385">
        <f>+E156*1.05</f>
        <v>14280</v>
      </c>
      <c r="F158" s="386">
        <f t="shared" si="12"/>
        <v>44696.4</v>
      </c>
      <c r="H158" s="395">
        <f t="shared" si="13"/>
        <v>33.678799999999995</v>
      </c>
      <c r="I158" s="394">
        <v>3.13</v>
      </c>
    </row>
    <row r="159" spans="1:9" x14ac:dyDescent="0.25">
      <c r="A159" s="391" t="s">
        <v>452</v>
      </c>
      <c r="B159" s="392" t="s">
        <v>115</v>
      </c>
      <c r="C159" s="393">
        <v>3.13</v>
      </c>
      <c r="D159" s="384" t="s">
        <v>129</v>
      </c>
      <c r="E159" s="385">
        <f>+E156*1.07</f>
        <v>14552</v>
      </c>
      <c r="F159" s="386">
        <f t="shared" si="12"/>
        <v>45547.76</v>
      </c>
      <c r="H159" s="395">
        <f t="shared" si="13"/>
        <v>33.678799999999995</v>
      </c>
      <c r="I159" s="394">
        <v>3.13</v>
      </c>
    </row>
    <row r="160" spans="1:9" x14ac:dyDescent="0.25">
      <c r="A160" s="391"/>
      <c r="B160" s="392"/>
      <c r="C160" s="393"/>
      <c r="D160" s="384"/>
      <c r="E160" s="385"/>
      <c r="F160" s="386"/>
    </row>
    <row r="161" spans="1:9" x14ac:dyDescent="0.25">
      <c r="A161" s="391"/>
      <c r="B161" s="392"/>
      <c r="C161" s="393"/>
      <c r="D161" s="384"/>
      <c r="E161" s="385"/>
      <c r="F161" s="386"/>
    </row>
    <row r="162" spans="1:9" ht="55.2" x14ac:dyDescent="0.25">
      <c r="A162" s="391" t="s">
        <v>187</v>
      </c>
      <c r="B162" s="392" t="s">
        <v>350</v>
      </c>
      <c r="C162" s="393"/>
      <c r="D162" s="384"/>
      <c r="E162" s="385"/>
      <c r="F162" s="386"/>
    </row>
    <row r="163" spans="1:9" x14ac:dyDescent="0.25">
      <c r="A163" s="391" t="s">
        <v>454</v>
      </c>
      <c r="B163" s="392" t="s">
        <v>50</v>
      </c>
      <c r="C163" s="393">
        <v>15.36</v>
      </c>
      <c r="D163" s="384" t="s">
        <v>129</v>
      </c>
      <c r="E163" s="385">
        <v>18735</v>
      </c>
      <c r="F163" s="386">
        <f t="shared" ref="F163:F166" si="14">C163*E163</f>
        <v>287769.59999999998</v>
      </c>
      <c r="H163" s="395">
        <f>+C163*10.76</f>
        <v>165.27359999999999</v>
      </c>
      <c r="I163" s="394">
        <v>1535.5596</v>
      </c>
    </row>
    <row r="164" spans="1:9" x14ac:dyDescent="0.25">
      <c r="A164" s="391" t="s">
        <v>455</v>
      </c>
      <c r="B164" s="392" t="s">
        <v>51</v>
      </c>
      <c r="C164" s="393">
        <v>13.21</v>
      </c>
      <c r="D164" s="384" t="s">
        <v>129</v>
      </c>
      <c r="E164" s="385">
        <f>+E163*1.03</f>
        <v>19297.05</v>
      </c>
      <c r="F164" s="386">
        <f t="shared" si="14"/>
        <v>254914.03049999999</v>
      </c>
      <c r="H164" s="395">
        <f t="shared" ref="H164:H166" si="15">+C164*10.76</f>
        <v>142.1396</v>
      </c>
      <c r="I164" s="394">
        <v>1321.328</v>
      </c>
    </row>
    <row r="165" spans="1:9" x14ac:dyDescent="0.25">
      <c r="A165" s="391" t="s">
        <v>456</v>
      </c>
      <c r="B165" s="392" t="s">
        <v>111</v>
      </c>
      <c r="C165" s="393">
        <v>7.25</v>
      </c>
      <c r="D165" s="384" t="s">
        <v>129</v>
      </c>
      <c r="E165" s="385">
        <f>+E163*1.05</f>
        <v>19671.75</v>
      </c>
      <c r="F165" s="386">
        <f t="shared" si="14"/>
        <v>142620.1875</v>
      </c>
      <c r="H165" s="395">
        <f t="shared" si="15"/>
        <v>78.010000000000005</v>
      </c>
      <c r="I165" s="394">
        <v>724.79359999999997</v>
      </c>
    </row>
    <row r="166" spans="1:9" x14ac:dyDescent="0.25">
      <c r="A166" s="391" t="s">
        <v>457</v>
      </c>
      <c r="B166" s="392" t="s">
        <v>112</v>
      </c>
      <c r="C166" s="393">
        <v>2.63</v>
      </c>
      <c r="D166" s="384" t="s">
        <v>129</v>
      </c>
      <c r="E166" s="385">
        <f>+E163*1.07</f>
        <v>20046.45</v>
      </c>
      <c r="F166" s="386">
        <f t="shared" si="14"/>
        <v>52722.163500000002</v>
      </c>
      <c r="H166" s="395">
        <f t="shared" si="15"/>
        <v>28.2988</v>
      </c>
      <c r="I166" s="394">
        <v>262.9744</v>
      </c>
    </row>
    <row r="167" spans="1:9" x14ac:dyDescent="0.25">
      <c r="A167" s="391"/>
      <c r="B167" s="392"/>
      <c r="C167" s="393"/>
      <c r="D167" s="384"/>
      <c r="E167" s="385"/>
      <c r="F167" s="386"/>
    </row>
    <row r="168" spans="1:9" s="387" customFormat="1" ht="28.05" customHeight="1" x14ac:dyDescent="0.25">
      <c r="A168" s="381"/>
      <c r="B168" s="396" t="s">
        <v>188</v>
      </c>
      <c r="C168" s="397"/>
      <c r="D168" s="384"/>
      <c r="E168" s="385"/>
      <c r="F168" s="386"/>
      <c r="H168" s="388"/>
    </row>
    <row r="169" spans="1:9" s="387" customFormat="1" ht="71.25" customHeight="1" x14ac:dyDescent="0.25">
      <c r="A169" s="381"/>
      <c r="B169" s="396" t="s">
        <v>189</v>
      </c>
      <c r="C169" s="397"/>
      <c r="D169" s="384"/>
      <c r="E169" s="385"/>
      <c r="F169" s="386"/>
      <c r="H169" s="388"/>
    </row>
    <row r="170" spans="1:9" ht="38.1" customHeight="1" x14ac:dyDescent="0.25">
      <c r="A170" s="391" t="s">
        <v>453</v>
      </c>
      <c r="B170" s="392" t="s">
        <v>190</v>
      </c>
      <c r="C170" s="393"/>
      <c r="D170" s="384"/>
      <c r="E170" s="385"/>
      <c r="F170" s="386"/>
    </row>
    <row r="171" spans="1:9" x14ac:dyDescent="0.25">
      <c r="A171" s="391" t="s">
        <v>458</v>
      </c>
      <c r="B171" s="392" t="s">
        <v>351</v>
      </c>
      <c r="C171" s="393">
        <v>0.65</v>
      </c>
      <c r="D171" s="384" t="s">
        <v>129</v>
      </c>
      <c r="E171" s="385">
        <v>3700</v>
      </c>
      <c r="F171" s="386">
        <f>C171*E171</f>
        <v>2405</v>
      </c>
    </row>
    <row r="172" spans="1:9" x14ac:dyDescent="0.25">
      <c r="A172" s="391" t="s">
        <v>459</v>
      </c>
      <c r="B172" s="392" t="s">
        <v>54</v>
      </c>
      <c r="C172" s="393">
        <v>4</v>
      </c>
      <c r="D172" s="384" t="s">
        <v>129</v>
      </c>
      <c r="E172" s="385">
        <f>+E171*1.03</f>
        <v>3811</v>
      </c>
      <c r="F172" s="386">
        <f t="shared" ref="F172:F173" si="16">C172*E172</f>
        <v>15244</v>
      </c>
      <c r="H172" s="395" t="e">
        <f>+#REF!*10.76</f>
        <v>#REF!</v>
      </c>
      <c r="I172" s="394">
        <v>399.5188</v>
      </c>
    </row>
    <row r="173" spans="1:9" x14ac:dyDescent="0.25">
      <c r="A173" s="391" t="s">
        <v>460</v>
      </c>
      <c r="B173" s="392" t="s">
        <v>55</v>
      </c>
      <c r="C173" s="393">
        <v>4</v>
      </c>
      <c r="D173" s="384" t="s">
        <v>129</v>
      </c>
      <c r="E173" s="385">
        <f>+E171*1.05</f>
        <v>3885</v>
      </c>
      <c r="F173" s="386">
        <f t="shared" si="16"/>
        <v>15540</v>
      </c>
      <c r="H173" s="395" t="e">
        <f>+#REF!*10.76</f>
        <v>#REF!</v>
      </c>
      <c r="I173" s="394">
        <v>399.5188</v>
      </c>
    </row>
    <row r="174" spans="1:9" x14ac:dyDescent="0.25">
      <c r="A174" s="384"/>
      <c r="B174" s="392"/>
      <c r="C174" s="393"/>
      <c r="D174" s="384"/>
      <c r="E174" s="385"/>
      <c r="F174" s="386"/>
    </row>
    <row r="175" spans="1:9" x14ac:dyDescent="0.25">
      <c r="A175" s="384"/>
      <c r="B175" s="392"/>
      <c r="C175" s="393"/>
      <c r="D175" s="384"/>
      <c r="E175" s="385"/>
      <c r="F175" s="386"/>
    </row>
    <row r="176" spans="1:9" x14ac:dyDescent="0.25">
      <c r="A176" s="384"/>
      <c r="B176" s="392"/>
      <c r="C176" s="393"/>
      <c r="D176" s="384"/>
      <c r="E176" s="385"/>
      <c r="F176" s="386"/>
    </row>
    <row r="177" spans="1:8" x14ac:dyDescent="0.25">
      <c r="A177" s="384"/>
      <c r="B177" s="392"/>
      <c r="C177" s="393"/>
      <c r="D177" s="384"/>
      <c r="E177" s="385"/>
      <c r="F177" s="386"/>
    </row>
    <row r="178" spans="1:8" s="387" customFormat="1" x14ac:dyDescent="0.25">
      <c r="A178" s="409"/>
      <c r="B178" s="410" t="s">
        <v>46</v>
      </c>
      <c r="C178" s="411"/>
      <c r="D178" s="412"/>
      <c r="E178" s="413"/>
      <c r="F178" s="414">
        <f>SUM(F141:F176)</f>
        <v>2208487.1814999995</v>
      </c>
      <c r="H178" s="388"/>
    </row>
    <row r="179" spans="1:8" s="387" customFormat="1" ht="28.05" customHeight="1" x14ac:dyDescent="0.25">
      <c r="A179" s="381"/>
      <c r="B179" s="401" t="s">
        <v>191</v>
      </c>
      <c r="C179" s="402"/>
      <c r="D179" s="384"/>
      <c r="E179" s="385"/>
      <c r="F179" s="386"/>
      <c r="H179" s="388"/>
    </row>
    <row r="180" spans="1:8" ht="55.05" customHeight="1" x14ac:dyDescent="0.25">
      <c r="A180" s="391" t="s">
        <v>192</v>
      </c>
      <c r="B180" s="392" t="s">
        <v>352</v>
      </c>
      <c r="C180" s="393"/>
      <c r="D180" s="384"/>
      <c r="E180" s="385"/>
      <c r="F180" s="386"/>
    </row>
    <row r="181" spans="1:8" x14ac:dyDescent="0.25">
      <c r="A181" s="384" t="s">
        <v>461</v>
      </c>
      <c r="B181" s="392" t="s">
        <v>98</v>
      </c>
      <c r="C181" s="393">
        <v>160</v>
      </c>
      <c r="D181" s="384" t="s">
        <v>134</v>
      </c>
      <c r="E181" s="385">
        <v>192</v>
      </c>
      <c r="F181" s="386">
        <f>+C181*E181</f>
        <v>30720</v>
      </c>
    </row>
    <row r="182" spans="1:8" x14ac:dyDescent="0.25">
      <c r="A182" s="384" t="s">
        <v>462</v>
      </c>
      <c r="B182" s="392" t="s">
        <v>99</v>
      </c>
      <c r="C182" s="393">
        <v>930</v>
      </c>
      <c r="D182" s="384" t="s">
        <v>134</v>
      </c>
      <c r="E182" s="385">
        <v>192</v>
      </c>
      <c r="F182" s="386">
        <f>+C182*E182</f>
        <v>178560</v>
      </c>
    </row>
    <row r="183" spans="1:8" x14ac:dyDescent="0.25">
      <c r="A183" s="391"/>
      <c r="B183" s="392"/>
      <c r="C183" s="393"/>
      <c r="D183" s="384"/>
      <c r="E183" s="385"/>
      <c r="F183" s="386"/>
    </row>
    <row r="184" spans="1:8" ht="41.4" x14ac:dyDescent="0.25">
      <c r="A184" s="391" t="s">
        <v>193</v>
      </c>
      <c r="B184" s="392" t="s">
        <v>133</v>
      </c>
      <c r="C184" s="393"/>
      <c r="D184" s="384"/>
      <c r="E184" s="385"/>
      <c r="F184" s="386"/>
    </row>
    <row r="185" spans="1:8" x14ac:dyDescent="0.25">
      <c r="A185" s="384" t="s">
        <v>463</v>
      </c>
      <c r="B185" s="392" t="s">
        <v>98</v>
      </c>
      <c r="C185" s="393">
        <v>360.5</v>
      </c>
      <c r="D185" s="384" t="s">
        <v>134</v>
      </c>
      <c r="E185" s="385">
        <v>192</v>
      </c>
      <c r="F185" s="386">
        <f>+C185*E185</f>
        <v>69216</v>
      </c>
    </row>
    <row r="186" spans="1:8" x14ac:dyDescent="0.25">
      <c r="A186" s="384" t="s">
        <v>464</v>
      </c>
      <c r="B186" s="392" t="s">
        <v>354</v>
      </c>
      <c r="C186" s="393">
        <v>805</v>
      </c>
      <c r="D186" s="384" t="s">
        <v>134</v>
      </c>
      <c r="E186" s="385">
        <v>192</v>
      </c>
      <c r="F186" s="386">
        <f>+C186*E186</f>
        <v>154560</v>
      </c>
    </row>
    <row r="187" spans="1:8" x14ac:dyDescent="0.25">
      <c r="A187" s="391"/>
      <c r="B187" s="392"/>
      <c r="C187" s="393"/>
      <c r="D187" s="384"/>
      <c r="E187" s="385"/>
      <c r="F187" s="386"/>
    </row>
    <row r="188" spans="1:8" ht="55.05" customHeight="1" x14ac:dyDescent="0.25">
      <c r="A188" s="391" t="s">
        <v>195</v>
      </c>
      <c r="B188" s="392" t="s">
        <v>194</v>
      </c>
      <c r="C188" s="393"/>
      <c r="D188" s="384"/>
      <c r="E188" s="385"/>
      <c r="F188" s="386"/>
    </row>
    <row r="189" spans="1:8" x14ac:dyDescent="0.25">
      <c r="A189" s="391" t="s">
        <v>465</v>
      </c>
      <c r="B189" s="392" t="s">
        <v>98</v>
      </c>
      <c r="C189" s="393">
        <v>287</v>
      </c>
      <c r="D189" s="384" t="s">
        <v>134</v>
      </c>
      <c r="E189" s="385">
        <v>198</v>
      </c>
      <c r="F189" s="386">
        <f>+C189*E189</f>
        <v>56826</v>
      </c>
    </row>
    <row r="190" spans="1:8" x14ac:dyDescent="0.25">
      <c r="A190" s="391" t="s">
        <v>466</v>
      </c>
      <c r="B190" s="392" t="s">
        <v>354</v>
      </c>
      <c r="C190" s="393">
        <v>724.5</v>
      </c>
      <c r="D190" s="384" t="s">
        <v>134</v>
      </c>
      <c r="E190" s="385">
        <v>198</v>
      </c>
      <c r="F190" s="386">
        <f>+C190*E190</f>
        <v>143451</v>
      </c>
    </row>
    <row r="191" spans="1:8" x14ac:dyDescent="0.25">
      <c r="A191" s="391"/>
      <c r="B191" s="392"/>
      <c r="C191" s="393"/>
      <c r="D191" s="384"/>
      <c r="E191" s="385"/>
      <c r="F191" s="386"/>
    </row>
    <row r="192" spans="1:8" ht="55.05" customHeight="1" x14ac:dyDescent="0.25">
      <c r="A192" s="391" t="s">
        <v>197</v>
      </c>
      <c r="B192" s="392" t="s">
        <v>196</v>
      </c>
      <c r="C192" s="393"/>
      <c r="D192" s="384"/>
      <c r="E192" s="385"/>
      <c r="F192" s="386"/>
    </row>
    <row r="193" spans="1:6" x14ac:dyDescent="0.25">
      <c r="A193" s="391" t="s">
        <v>467</v>
      </c>
      <c r="B193" s="392" t="s">
        <v>98</v>
      </c>
      <c r="C193" s="393">
        <v>203</v>
      </c>
      <c r="D193" s="384" t="s">
        <v>134</v>
      </c>
      <c r="E193" s="385">
        <v>202</v>
      </c>
      <c r="F193" s="386">
        <f>+C193*E193</f>
        <v>41006</v>
      </c>
    </row>
    <row r="194" spans="1:6" x14ac:dyDescent="0.25">
      <c r="A194" s="391" t="s">
        <v>468</v>
      </c>
      <c r="B194" s="392" t="s">
        <v>354</v>
      </c>
      <c r="C194" s="393">
        <v>385</v>
      </c>
      <c r="D194" s="384" t="s">
        <v>134</v>
      </c>
      <c r="E194" s="385">
        <v>202</v>
      </c>
      <c r="F194" s="386">
        <f>+C194*E194</f>
        <v>77770</v>
      </c>
    </row>
    <row r="195" spans="1:6" x14ac:dyDescent="0.25">
      <c r="A195" s="391"/>
      <c r="B195" s="392"/>
      <c r="C195" s="393"/>
      <c r="D195" s="384"/>
      <c r="E195" s="385"/>
      <c r="F195" s="386"/>
    </row>
    <row r="196" spans="1:6" ht="41.4" x14ac:dyDescent="0.25">
      <c r="A196" s="391" t="s">
        <v>198</v>
      </c>
      <c r="B196" s="392" t="s">
        <v>357</v>
      </c>
      <c r="C196" s="393"/>
      <c r="D196" s="384"/>
      <c r="E196" s="385"/>
      <c r="F196" s="386"/>
    </row>
    <row r="197" spans="1:6" x14ac:dyDescent="0.25">
      <c r="A197" s="391" t="s">
        <v>469</v>
      </c>
      <c r="B197" s="392" t="s">
        <v>98</v>
      </c>
      <c r="C197" s="393">
        <v>126</v>
      </c>
      <c r="D197" s="384" t="s">
        <v>134</v>
      </c>
      <c r="E197" s="385">
        <v>208</v>
      </c>
      <c r="F197" s="386">
        <f>+C197*E197</f>
        <v>26208</v>
      </c>
    </row>
    <row r="198" spans="1:6" x14ac:dyDescent="0.25">
      <c r="A198" s="391" t="s">
        <v>470</v>
      </c>
      <c r="B198" s="392" t="s">
        <v>354</v>
      </c>
      <c r="C198" s="393">
        <v>140</v>
      </c>
      <c r="D198" s="384" t="s">
        <v>134</v>
      </c>
      <c r="E198" s="385">
        <v>208</v>
      </c>
      <c r="F198" s="386">
        <f>+C198*E198</f>
        <v>29120</v>
      </c>
    </row>
    <row r="199" spans="1:6" x14ac:dyDescent="0.25">
      <c r="A199" s="391"/>
      <c r="B199" s="392"/>
      <c r="C199" s="393"/>
      <c r="D199" s="384"/>
      <c r="E199" s="385"/>
      <c r="F199" s="386"/>
    </row>
    <row r="200" spans="1:6" ht="55.05" customHeight="1" x14ac:dyDescent="0.25">
      <c r="A200" s="391" t="s">
        <v>200</v>
      </c>
      <c r="B200" s="392" t="s">
        <v>353</v>
      </c>
      <c r="C200" s="393"/>
      <c r="D200" s="384" t="s">
        <v>134</v>
      </c>
      <c r="E200" s="385">
        <v>164</v>
      </c>
      <c r="F200" s="386"/>
    </row>
    <row r="201" spans="1:6" x14ac:dyDescent="0.25">
      <c r="A201" s="384" t="s">
        <v>471</v>
      </c>
      <c r="B201" s="392" t="s">
        <v>108</v>
      </c>
      <c r="C201" s="393">
        <v>360</v>
      </c>
      <c r="D201" s="384" t="s">
        <v>134</v>
      </c>
      <c r="E201" s="385">
        <v>204</v>
      </c>
      <c r="F201" s="386">
        <f>+C201*E201</f>
        <v>73440</v>
      </c>
    </row>
    <row r="202" spans="1:6" x14ac:dyDescent="0.25">
      <c r="A202" s="384" t="s">
        <v>472</v>
      </c>
      <c r="B202" s="392" t="s">
        <v>98</v>
      </c>
      <c r="C202" s="393">
        <f>490-160</f>
        <v>330</v>
      </c>
      <c r="D202" s="384" t="s">
        <v>134</v>
      </c>
      <c r="E202" s="385">
        <v>204</v>
      </c>
      <c r="F202" s="386">
        <f>+C202*E202</f>
        <v>67320</v>
      </c>
    </row>
    <row r="203" spans="1:6" x14ac:dyDescent="0.25">
      <c r="A203" s="384" t="s">
        <v>473</v>
      </c>
      <c r="B203" s="392" t="s">
        <v>99</v>
      </c>
      <c r="C203" s="393">
        <f>2640-930</f>
        <v>1710</v>
      </c>
      <c r="D203" s="384" t="s">
        <v>134</v>
      </c>
      <c r="E203" s="385">
        <v>204</v>
      </c>
      <c r="F203" s="386">
        <f t="shared" ref="F203:F204" si="17">+C203*E203</f>
        <v>348840</v>
      </c>
    </row>
    <row r="204" spans="1:6" x14ac:dyDescent="0.25">
      <c r="A204" s="384" t="s">
        <v>474</v>
      </c>
      <c r="B204" s="392" t="s">
        <v>100</v>
      </c>
      <c r="C204" s="393">
        <v>320</v>
      </c>
      <c r="D204" s="384" t="s">
        <v>134</v>
      </c>
      <c r="E204" s="385">
        <v>204</v>
      </c>
      <c r="F204" s="386">
        <f t="shared" si="17"/>
        <v>65280</v>
      </c>
    </row>
    <row r="205" spans="1:6" x14ac:dyDescent="0.25">
      <c r="A205" s="391"/>
      <c r="B205" s="392"/>
      <c r="C205" s="393"/>
      <c r="D205" s="384"/>
      <c r="E205" s="385"/>
      <c r="F205" s="386"/>
    </row>
    <row r="206" spans="1:6" ht="41.4" x14ac:dyDescent="0.25">
      <c r="A206" s="391" t="s">
        <v>475</v>
      </c>
      <c r="B206" s="392" t="s">
        <v>135</v>
      </c>
      <c r="C206" s="393"/>
      <c r="D206" s="384"/>
      <c r="E206" s="385"/>
      <c r="F206" s="386"/>
    </row>
    <row r="207" spans="1:6" x14ac:dyDescent="0.25">
      <c r="A207" s="391" t="s">
        <v>476</v>
      </c>
      <c r="B207" s="392" t="s">
        <v>98</v>
      </c>
      <c r="C207" s="393">
        <v>669.5</v>
      </c>
      <c r="D207" s="384" t="s">
        <v>134</v>
      </c>
      <c r="E207" s="385">
        <v>204</v>
      </c>
      <c r="F207" s="386">
        <f>+C207*E207</f>
        <v>136578</v>
      </c>
    </row>
    <row r="208" spans="1:6" x14ac:dyDescent="0.25">
      <c r="A208" s="391" t="s">
        <v>478</v>
      </c>
      <c r="B208" s="392" t="s">
        <v>354</v>
      </c>
      <c r="C208" s="393">
        <v>1495.5</v>
      </c>
      <c r="D208" s="384" t="s">
        <v>134</v>
      </c>
      <c r="E208" s="385">
        <v>204</v>
      </c>
      <c r="F208" s="386">
        <f>+C208*E208</f>
        <v>305082</v>
      </c>
    </row>
    <row r="209" spans="1:6" x14ac:dyDescent="0.25">
      <c r="A209" s="391" t="s">
        <v>477</v>
      </c>
      <c r="B209" s="392" t="s">
        <v>355</v>
      </c>
      <c r="C209" s="393">
        <v>3090</v>
      </c>
      <c r="D209" s="384" t="s">
        <v>134</v>
      </c>
      <c r="E209" s="385">
        <v>204</v>
      </c>
      <c r="F209" s="386">
        <f t="shared" ref="F209:F210" si="18">+C209*E209</f>
        <v>630360</v>
      </c>
    </row>
    <row r="210" spans="1:6" x14ac:dyDescent="0.25">
      <c r="A210" s="391" t="s">
        <v>479</v>
      </c>
      <c r="B210" s="392" t="s">
        <v>356</v>
      </c>
      <c r="C210" s="393">
        <v>501</v>
      </c>
      <c r="D210" s="384" t="s">
        <v>134</v>
      </c>
      <c r="E210" s="385">
        <v>204</v>
      </c>
      <c r="F210" s="386">
        <f t="shared" si="18"/>
        <v>102204</v>
      </c>
    </row>
    <row r="211" spans="1:6" x14ac:dyDescent="0.25">
      <c r="A211" s="391"/>
      <c r="B211" s="392"/>
      <c r="C211" s="393"/>
      <c r="D211" s="384"/>
      <c r="E211" s="385"/>
      <c r="F211" s="386"/>
    </row>
    <row r="212" spans="1:6" ht="55.05" customHeight="1" x14ac:dyDescent="0.25">
      <c r="A212" s="391" t="s">
        <v>480</v>
      </c>
      <c r="B212" s="392" t="s">
        <v>199</v>
      </c>
      <c r="C212" s="393"/>
      <c r="D212" s="384"/>
      <c r="E212" s="385"/>
      <c r="F212" s="386"/>
    </row>
    <row r="213" spans="1:6" x14ac:dyDescent="0.25">
      <c r="A213" s="391" t="s">
        <v>481</v>
      </c>
      <c r="B213" s="392" t="s">
        <v>98</v>
      </c>
      <c r="C213" s="393">
        <v>533</v>
      </c>
      <c r="D213" s="384" t="s">
        <v>134</v>
      </c>
      <c r="E213" s="385">
        <v>210</v>
      </c>
      <c r="F213" s="386">
        <f>+C213*E213</f>
        <v>111930</v>
      </c>
    </row>
    <row r="214" spans="1:6" x14ac:dyDescent="0.25">
      <c r="A214" s="391" t="s">
        <v>482</v>
      </c>
      <c r="B214" s="392" t="s">
        <v>354</v>
      </c>
      <c r="C214" s="393">
        <v>1345.5</v>
      </c>
      <c r="D214" s="384" t="s">
        <v>134</v>
      </c>
      <c r="E214" s="385">
        <v>210</v>
      </c>
      <c r="F214" s="386">
        <f>+C214*E214</f>
        <v>282555</v>
      </c>
    </row>
    <row r="215" spans="1:6" x14ac:dyDescent="0.25">
      <c r="A215" s="391" t="s">
        <v>483</v>
      </c>
      <c r="B215" s="392" t="s">
        <v>355</v>
      </c>
      <c r="C215" s="393">
        <v>3090</v>
      </c>
      <c r="D215" s="384" t="s">
        <v>134</v>
      </c>
      <c r="E215" s="385">
        <v>210</v>
      </c>
      <c r="F215" s="386">
        <f t="shared" ref="F215:F216" si="19">+C215*E215</f>
        <v>648900</v>
      </c>
    </row>
    <row r="216" spans="1:6" x14ac:dyDescent="0.25">
      <c r="A216" s="391" t="s">
        <v>484</v>
      </c>
      <c r="B216" s="392" t="s">
        <v>356</v>
      </c>
      <c r="C216" s="393">
        <v>501</v>
      </c>
      <c r="D216" s="384" t="s">
        <v>134</v>
      </c>
      <c r="E216" s="385">
        <v>210</v>
      </c>
      <c r="F216" s="386">
        <f t="shared" si="19"/>
        <v>105210</v>
      </c>
    </row>
    <row r="217" spans="1:6" x14ac:dyDescent="0.25">
      <c r="A217" s="391"/>
      <c r="B217" s="392"/>
      <c r="C217" s="393"/>
      <c r="D217" s="384"/>
      <c r="E217" s="385"/>
      <c r="F217" s="386"/>
    </row>
    <row r="218" spans="1:6" ht="55.05" customHeight="1" x14ac:dyDescent="0.25">
      <c r="A218" s="391" t="s">
        <v>485</v>
      </c>
      <c r="B218" s="392" t="s">
        <v>201</v>
      </c>
      <c r="C218" s="393"/>
      <c r="D218" s="384"/>
      <c r="E218" s="385"/>
      <c r="F218" s="386"/>
    </row>
    <row r="219" spans="1:6" x14ac:dyDescent="0.25">
      <c r="A219" s="391" t="s">
        <v>486</v>
      </c>
      <c r="B219" s="392" t="s">
        <v>98</v>
      </c>
      <c r="C219" s="393">
        <v>377</v>
      </c>
      <c r="D219" s="384" t="s">
        <v>134</v>
      </c>
      <c r="E219" s="385">
        <v>210</v>
      </c>
      <c r="F219" s="386">
        <f>+C219*E219</f>
        <v>79170</v>
      </c>
    </row>
    <row r="220" spans="1:6" x14ac:dyDescent="0.25">
      <c r="A220" s="391" t="s">
        <v>487</v>
      </c>
      <c r="B220" s="392" t="s">
        <v>354</v>
      </c>
      <c r="C220" s="393">
        <v>715</v>
      </c>
      <c r="D220" s="384" t="s">
        <v>134</v>
      </c>
      <c r="E220" s="385">
        <v>210</v>
      </c>
      <c r="F220" s="386">
        <f>+C220*E220</f>
        <v>150150</v>
      </c>
    </row>
    <row r="221" spans="1:6" x14ac:dyDescent="0.25">
      <c r="A221" s="391" t="s">
        <v>488</v>
      </c>
      <c r="B221" s="392" t="s">
        <v>355</v>
      </c>
      <c r="C221" s="393">
        <v>440</v>
      </c>
      <c r="D221" s="384" t="s">
        <v>134</v>
      </c>
      <c r="E221" s="385">
        <v>210</v>
      </c>
      <c r="F221" s="386">
        <f t="shared" ref="F221" si="20">+C221*E221</f>
        <v>92400</v>
      </c>
    </row>
    <row r="222" spans="1:6" x14ac:dyDescent="0.25">
      <c r="A222" s="391"/>
      <c r="B222" s="392"/>
      <c r="C222" s="393"/>
      <c r="D222" s="384"/>
      <c r="E222" s="385"/>
      <c r="F222" s="386"/>
    </row>
    <row r="223" spans="1:6" ht="41.4" x14ac:dyDescent="0.25">
      <c r="A223" s="391" t="s">
        <v>489</v>
      </c>
      <c r="B223" s="392" t="s">
        <v>358</v>
      </c>
      <c r="C223" s="393"/>
      <c r="D223" s="384"/>
      <c r="E223" s="385"/>
      <c r="F223" s="386"/>
    </row>
    <row r="224" spans="1:6" x14ac:dyDescent="0.25">
      <c r="A224" s="391" t="s">
        <v>490</v>
      </c>
      <c r="B224" s="392" t="s">
        <v>98</v>
      </c>
      <c r="C224" s="393">
        <v>234</v>
      </c>
      <c r="D224" s="384" t="s">
        <v>134</v>
      </c>
      <c r="E224" s="385">
        <v>216</v>
      </c>
      <c r="F224" s="386">
        <f>+C224*E224</f>
        <v>50544</v>
      </c>
    </row>
    <row r="225" spans="1:8" x14ac:dyDescent="0.25">
      <c r="A225" s="391" t="s">
        <v>491</v>
      </c>
      <c r="B225" s="392" t="s">
        <v>354</v>
      </c>
      <c r="C225" s="393">
        <v>260</v>
      </c>
      <c r="D225" s="384" t="s">
        <v>134</v>
      </c>
      <c r="E225" s="385">
        <v>216</v>
      </c>
      <c r="F225" s="386">
        <f>+C225*E225</f>
        <v>56160</v>
      </c>
    </row>
    <row r="226" spans="1:8" x14ac:dyDescent="0.25">
      <c r="A226" s="391" t="s">
        <v>492</v>
      </c>
      <c r="B226" s="392" t="s">
        <v>355</v>
      </c>
      <c r="C226" s="393">
        <v>440</v>
      </c>
      <c r="D226" s="384" t="s">
        <v>134</v>
      </c>
      <c r="E226" s="385">
        <v>216</v>
      </c>
      <c r="F226" s="386">
        <f t="shared" ref="F226" si="21">+C226*E226</f>
        <v>95040</v>
      </c>
    </row>
    <row r="227" spans="1:8" x14ac:dyDescent="0.25">
      <c r="A227" s="391"/>
      <c r="B227" s="392"/>
      <c r="C227" s="393"/>
      <c r="D227" s="384"/>
      <c r="E227" s="385"/>
      <c r="F227" s="386"/>
    </row>
    <row r="228" spans="1:8" x14ac:dyDescent="0.25">
      <c r="A228" s="391"/>
      <c r="B228" s="392"/>
      <c r="C228" s="393"/>
      <c r="D228" s="384"/>
      <c r="E228" s="385"/>
      <c r="F228" s="386"/>
    </row>
    <row r="229" spans="1:8" x14ac:dyDescent="0.25">
      <c r="A229" s="391"/>
      <c r="B229" s="392"/>
      <c r="C229" s="393"/>
      <c r="D229" s="384"/>
      <c r="E229" s="385"/>
      <c r="F229" s="386"/>
    </row>
    <row r="230" spans="1:8" s="387" customFormat="1" x14ac:dyDescent="0.25">
      <c r="A230" s="409"/>
      <c r="B230" s="410" t="s">
        <v>46</v>
      </c>
      <c r="C230" s="411"/>
      <c r="D230" s="412"/>
      <c r="E230" s="413"/>
      <c r="F230" s="414">
        <f>SUM(F180:F228)</f>
        <v>4208600</v>
      </c>
      <c r="H230" s="388"/>
    </row>
    <row r="231" spans="1:8" s="387" customFormat="1" ht="28.05" customHeight="1" x14ac:dyDescent="0.25">
      <c r="A231" s="381"/>
      <c r="B231" s="401" t="s">
        <v>202</v>
      </c>
      <c r="C231" s="402"/>
      <c r="D231" s="384"/>
      <c r="E231" s="385"/>
      <c r="F231" s="386"/>
      <c r="H231" s="388"/>
    </row>
    <row r="232" spans="1:8" ht="38.1" customHeight="1" x14ac:dyDescent="0.25">
      <c r="A232" s="391" t="s">
        <v>493</v>
      </c>
      <c r="B232" s="392" t="s">
        <v>204</v>
      </c>
      <c r="C232" s="393">
        <v>50.32</v>
      </c>
      <c r="D232" s="384" t="s">
        <v>131</v>
      </c>
      <c r="E232" s="385">
        <v>40650</v>
      </c>
      <c r="F232" s="386">
        <f t="shared" ref="F232:F234" si="22">+C232*E232</f>
        <v>2045508</v>
      </c>
    </row>
    <row r="233" spans="1:8" ht="38.1" customHeight="1" x14ac:dyDescent="0.25">
      <c r="A233" s="391" t="s">
        <v>203</v>
      </c>
      <c r="B233" s="392" t="s">
        <v>206</v>
      </c>
      <c r="C233" s="393">
        <v>36.6</v>
      </c>
      <c r="D233" s="384" t="s">
        <v>131</v>
      </c>
      <c r="E233" s="385">
        <v>42680</v>
      </c>
      <c r="F233" s="386">
        <f t="shared" si="22"/>
        <v>1562088</v>
      </c>
    </row>
    <row r="234" spans="1:8" ht="38.1" customHeight="1" x14ac:dyDescent="0.25">
      <c r="A234" s="391" t="s">
        <v>205</v>
      </c>
      <c r="B234" s="392" t="s">
        <v>207</v>
      </c>
      <c r="C234" s="393">
        <v>17.25</v>
      </c>
      <c r="D234" s="384" t="s">
        <v>131</v>
      </c>
      <c r="E234" s="385">
        <v>43500</v>
      </c>
      <c r="F234" s="386">
        <f t="shared" si="22"/>
        <v>750375</v>
      </c>
    </row>
    <row r="235" spans="1:8" x14ac:dyDescent="0.25">
      <c r="A235" s="391"/>
      <c r="B235" s="392"/>
      <c r="C235" s="393"/>
      <c r="D235" s="384"/>
      <c r="E235" s="385"/>
      <c r="F235" s="386"/>
    </row>
    <row r="236" spans="1:8" x14ac:dyDescent="0.25">
      <c r="A236" s="391"/>
      <c r="B236" s="392"/>
      <c r="C236" s="393"/>
      <c r="D236" s="384"/>
      <c r="E236" s="385"/>
      <c r="F236" s="386"/>
    </row>
    <row r="237" spans="1:8" s="387" customFormat="1" x14ac:dyDescent="0.25">
      <c r="A237" s="409"/>
      <c r="B237" s="410" t="s">
        <v>46</v>
      </c>
      <c r="C237" s="411"/>
      <c r="D237" s="412"/>
      <c r="E237" s="413"/>
      <c r="F237" s="414">
        <f>SUM(F232:F236)</f>
        <v>4357971</v>
      </c>
      <c r="H237" s="388"/>
    </row>
    <row r="238" spans="1:8" x14ac:dyDescent="0.25">
      <c r="A238" s="391"/>
      <c r="B238" s="392"/>
      <c r="C238" s="393"/>
      <c r="D238" s="384"/>
      <c r="E238" s="385"/>
      <c r="F238" s="386"/>
    </row>
    <row r="239" spans="1:8" s="387" customFormat="1" ht="28.05" customHeight="1" x14ac:dyDescent="0.25">
      <c r="A239" s="381"/>
      <c r="B239" s="401" t="s">
        <v>208</v>
      </c>
      <c r="C239" s="402"/>
      <c r="D239" s="384"/>
      <c r="E239" s="385"/>
      <c r="F239" s="386"/>
      <c r="H239" s="388"/>
    </row>
    <row r="240" spans="1:8" ht="55.05" customHeight="1" x14ac:dyDescent="0.25">
      <c r="A240" s="391" t="s">
        <v>494</v>
      </c>
      <c r="B240" s="392" t="s">
        <v>359</v>
      </c>
      <c r="C240" s="393"/>
      <c r="D240" s="384"/>
      <c r="E240" s="385"/>
      <c r="F240" s="386"/>
    </row>
    <row r="241" spans="1:9" x14ac:dyDescent="0.25">
      <c r="A241" s="391" t="s">
        <v>495</v>
      </c>
      <c r="B241" s="392" t="s">
        <v>58</v>
      </c>
      <c r="C241" s="393">
        <v>9.7799999999999994</v>
      </c>
      <c r="D241" s="384" t="s">
        <v>129</v>
      </c>
      <c r="E241" s="385">
        <v>20338.5</v>
      </c>
      <c r="F241" s="386">
        <f t="shared" ref="F241:F244" si="23">+C241*E241</f>
        <v>198910.53</v>
      </c>
      <c r="H241" s="395">
        <f>+C241*10.76/100</f>
        <v>1.0523279999999999</v>
      </c>
      <c r="I241" s="394">
        <v>9.7797640000000001</v>
      </c>
    </row>
    <row r="242" spans="1:9" x14ac:dyDescent="0.25">
      <c r="A242" s="391" t="s">
        <v>496</v>
      </c>
      <c r="B242" s="392" t="s">
        <v>59</v>
      </c>
      <c r="C242" s="393">
        <v>13.93</v>
      </c>
      <c r="D242" s="384" t="s">
        <v>129</v>
      </c>
      <c r="E242" s="385">
        <v>20725.900000000001</v>
      </c>
      <c r="F242" s="386">
        <f t="shared" si="23"/>
        <v>288711.78700000001</v>
      </c>
      <c r="H242" s="395">
        <f t="shared" ref="H242:H244" si="24">+C242*10.76/100</f>
        <v>1.4988679999999999</v>
      </c>
      <c r="I242" s="394">
        <v>13.927744000000001</v>
      </c>
    </row>
    <row r="243" spans="1:9" x14ac:dyDescent="0.25">
      <c r="A243" s="391" t="s">
        <v>497</v>
      </c>
      <c r="B243" s="392" t="s">
        <v>116</v>
      </c>
      <c r="C243" s="393">
        <v>14.46</v>
      </c>
      <c r="D243" s="384" t="s">
        <v>129</v>
      </c>
      <c r="E243" s="385">
        <v>21307</v>
      </c>
      <c r="F243" s="386">
        <f t="shared" si="23"/>
        <v>308099.22000000003</v>
      </c>
      <c r="H243" s="395">
        <f t="shared" si="24"/>
        <v>1.5558960000000002</v>
      </c>
      <c r="I243" s="394">
        <v>14.462515999999999</v>
      </c>
    </row>
    <row r="244" spans="1:9" x14ac:dyDescent="0.25">
      <c r="A244" s="391" t="s">
        <v>498</v>
      </c>
      <c r="B244" s="392" t="s">
        <v>117</v>
      </c>
      <c r="C244" s="393">
        <v>1.52</v>
      </c>
      <c r="D244" s="384" t="s">
        <v>129</v>
      </c>
      <c r="E244" s="385">
        <v>22275.5</v>
      </c>
      <c r="F244" s="386">
        <f t="shared" si="23"/>
        <v>33858.76</v>
      </c>
      <c r="H244" s="395">
        <f t="shared" si="24"/>
        <v>0.163552</v>
      </c>
      <c r="I244" s="394">
        <v>1.516084</v>
      </c>
    </row>
    <row r="245" spans="1:9" x14ac:dyDescent="0.25">
      <c r="A245" s="391"/>
      <c r="B245" s="392"/>
      <c r="C245" s="393"/>
      <c r="D245" s="384"/>
      <c r="E245" s="385"/>
      <c r="F245" s="386"/>
    </row>
    <row r="246" spans="1:9" ht="55.05" customHeight="1" x14ac:dyDescent="0.25">
      <c r="A246" s="391" t="s">
        <v>209</v>
      </c>
      <c r="B246" s="392" t="s">
        <v>360</v>
      </c>
      <c r="C246" s="393"/>
      <c r="D246" s="384"/>
      <c r="E246" s="385"/>
      <c r="F246" s="386"/>
    </row>
    <row r="247" spans="1:9" x14ac:dyDescent="0.25">
      <c r="A247" s="391" t="s">
        <v>499</v>
      </c>
      <c r="B247" s="392" t="s">
        <v>57</v>
      </c>
      <c r="C247" s="393">
        <v>5.29</v>
      </c>
      <c r="D247" s="384" t="s">
        <v>129</v>
      </c>
      <c r="E247" s="385">
        <v>13920</v>
      </c>
      <c r="F247" s="386">
        <f t="shared" ref="F247:F249" si="25">+C247*E247</f>
        <v>73636.800000000003</v>
      </c>
      <c r="H247" s="395">
        <f>+C247*10.76/100</f>
        <v>0.56920400000000004</v>
      </c>
      <c r="I247" s="394">
        <v>5.2928439999999997</v>
      </c>
    </row>
    <row r="248" spans="1:9" x14ac:dyDescent="0.25">
      <c r="A248" s="391" t="s">
        <v>500</v>
      </c>
      <c r="B248" s="392" t="s">
        <v>58</v>
      </c>
      <c r="C248" s="393">
        <v>5.47</v>
      </c>
      <c r="D248" s="384" t="s">
        <v>129</v>
      </c>
      <c r="E248" s="385">
        <f>+E247*1.05</f>
        <v>14616</v>
      </c>
      <c r="F248" s="386">
        <f t="shared" si="25"/>
        <v>79949.51999999999</v>
      </c>
      <c r="H248" s="395">
        <f t="shared" ref="H248:H249" si="26">+C248*10.76/100</f>
        <v>0.58857199999999998</v>
      </c>
      <c r="I248" s="394">
        <v>5.4703840000000001</v>
      </c>
    </row>
    <row r="249" spans="1:9" x14ac:dyDescent="0.25">
      <c r="A249" s="391" t="s">
        <v>501</v>
      </c>
      <c r="B249" s="392" t="s">
        <v>59</v>
      </c>
      <c r="C249" s="393">
        <v>6.62</v>
      </c>
      <c r="D249" s="384" t="s">
        <v>129</v>
      </c>
      <c r="E249" s="385">
        <f>+E247*1.07</f>
        <v>14894.400000000001</v>
      </c>
      <c r="F249" s="386">
        <f t="shared" si="25"/>
        <v>98600.928000000014</v>
      </c>
      <c r="H249" s="395">
        <f t="shared" si="26"/>
        <v>0.71231200000000006</v>
      </c>
      <c r="I249" s="394">
        <v>6.6173999999999999</v>
      </c>
    </row>
    <row r="250" spans="1:9" x14ac:dyDescent="0.25">
      <c r="A250" s="391"/>
      <c r="B250" s="392"/>
      <c r="C250" s="393"/>
      <c r="D250" s="384"/>
      <c r="E250" s="385"/>
      <c r="F250" s="386"/>
    </row>
    <row r="251" spans="1:9" x14ac:dyDescent="0.25">
      <c r="A251" s="391"/>
      <c r="B251" s="392"/>
      <c r="C251" s="393"/>
      <c r="D251" s="384"/>
      <c r="E251" s="385"/>
      <c r="F251" s="386"/>
    </row>
    <row r="252" spans="1:9" x14ac:dyDescent="0.25">
      <c r="A252" s="391"/>
      <c r="B252" s="392"/>
      <c r="C252" s="393"/>
      <c r="D252" s="384"/>
      <c r="E252" s="385"/>
      <c r="F252" s="386"/>
    </row>
    <row r="253" spans="1:9" x14ac:dyDescent="0.25">
      <c r="A253" s="391"/>
      <c r="B253" s="392"/>
      <c r="C253" s="393"/>
      <c r="D253" s="384"/>
      <c r="E253" s="385"/>
      <c r="F253" s="386"/>
    </row>
    <row r="254" spans="1:9" s="387" customFormat="1" x14ac:dyDescent="0.25">
      <c r="A254" s="409"/>
      <c r="B254" s="410" t="s">
        <v>46</v>
      </c>
      <c r="C254" s="411"/>
      <c r="D254" s="412"/>
      <c r="E254" s="413"/>
      <c r="F254" s="414">
        <f>SUM(F240:F252)</f>
        <v>1081767.5450000002</v>
      </c>
      <c r="H254" s="388"/>
    </row>
    <row r="255" spans="1:9" s="387" customFormat="1" ht="30" customHeight="1" x14ac:dyDescent="0.25">
      <c r="A255" s="381"/>
      <c r="B255" s="401" t="s">
        <v>210</v>
      </c>
      <c r="C255" s="402"/>
      <c r="D255" s="384"/>
      <c r="E255" s="385"/>
      <c r="F255" s="386"/>
      <c r="H255" s="388"/>
    </row>
    <row r="256" spans="1:9" s="431" customFormat="1" ht="38.1" customHeight="1" x14ac:dyDescent="0.25">
      <c r="A256" s="391" t="s">
        <v>211</v>
      </c>
      <c r="B256" s="392" t="s">
        <v>212</v>
      </c>
      <c r="C256" s="393">
        <v>5.07</v>
      </c>
      <c r="D256" s="384" t="s">
        <v>131</v>
      </c>
      <c r="E256" s="385">
        <v>31540</v>
      </c>
      <c r="F256" s="386">
        <f t="shared" ref="F256:F265" si="27">+C256*E256</f>
        <v>159907.80000000002</v>
      </c>
      <c r="H256" s="432">
        <f>14.36/2.83</f>
        <v>5.0742049469964661</v>
      </c>
    </row>
    <row r="257" spans="1:10" s="431" customFormat="1" x14ac:dyDescent="0.25">
      <c r="A257" s="391"/>
      <c r="B257" s="392"/>
      <c r="C257" s="393"/>
      <c r="D257" s="384"/>
      <c r="E257" s="385"/>
      <c r="F257" s="386"/>
      <c r="H257" s="432"/>
    </row>
    <row r="258" spans="1:10" s="431" customFormat="1" x14ac:dyDescent="0.25">
      <c r="A258" s="391"/>
      <c r="B258" s="392"/>
      <c r="C258" s="393"/>
      <c r="D258" s="384"/>
      <c r="E258" s="385"/>
      <c r="F258" s="386"/>
      <c r="H258" s="432"/>
    </row>
    <row r="259" spans="1:10" s="387" customFormat="1" x14ac:dyDescent="0.25">
      <c r="A259" s="409"/>
      <c r="B259" s="410" t="s">
        <v>46</v>
      </c>
      <c r="C259" s="411"/>
      <c r="D259" s="412"/>
      <c r="E259" s="413"/>
      <c r="F259" s="414">
        <f>SUM(F256:F258)</f>
        <v>159907.80000000002</v>
      </c>
      <c r="H259" s="388"/>
    </row>
    <row r="260" spans="1:10" s="387" customFormat="1" ht="28.05" customHeight="1" x14ac:dyDescent="0.25">
      <c r="A260" s="381"/>
      <c r="B260" s="401" t="s">
        <v>213</v>
      </c>
      <c r="C260" s="402"/>
      <c r="D260" s="384"/>
      <c r="E260" s="385"/>
      <c r="F260" s="386"/>
      <c r="H260" s="388"/>
    </row>
    <row r="261" spans="1:10" ht="38.1" customHeight="1" x14ac:dyDescent="0.25">
      <c r="A261" s="391" t="s">
        <v>214</v>
      </c>
      <c r="B261" s="392" t="s">
        <v>215</v>
      </c>
      <c r="C261" s="393">
        <v>3.29</v>
      </c>
      <c r="D261" s="384" t="s">
        <v>129</v>
      </c>
      <c r="E261" s="385">
        <v>10140</v>
      </c>
      <c r="F261" s="386">
        <f t="shared" si="27"/>
        <v>33360.6</v>
      </c>
      <c r="G261" s="394">
        <f>101.91*0.3*10.76/100</f>
        <v>3.2896547999999997</v>
      </c>
    </row>
    <row r="262" spans="1:10" ht="41.4" x14ac:dyDescent="0.3">
      <c r="A262" s="391" t="s">
        <v>216</v>
      </c>
      <c r="B262" s="392" t="s">
        <v>217</v>
      </c>
      <c r="C262" s="393">
        <v>26.92</v>
      </c>
      <c r="D262" s="384" t="s">
        <v>129</v>
      </c>
      <c r="E262" s="385">
        <v>399</v>
      </c>
      <c r="F262" s="386">
        <f t="shared" si="27"/>
        <v>10741.08</v>
      </c>
      <c r="G262" s="394">
        <f>250.16*10.76/100</f>
        <v>26.917216</v>
      </c>
      <c r="I262" s="433" t="s">
        <v>116</v>
      </c>
      <c r="J262" s="4">
        <v>34.880000000000003</v>
      </c>
    </row>
    <row r="263" spans="1:10" ht="55.2" x14ac:dyDescent="0.3">
      <c r="A263" s="391" t="s">
        <v>218</v>
      </c>
      <c r="B263" s="392" t="s">
        <v>362</v>
      </c>
      <c r="C263" s="393"/>
      <c r="D263" s="384"/>
      <c r="E263" s="385"/>
      <c r="F263" s="386"/>
      <c r="I263" s="433" t="s">
        <v>124</v>
      </c>
      <c r="J263" s="4">
        <v>34.880000000000003</v>
      </c>
    </row>
    <row r="264" spans="1:10" x14ac:dyDescent="0.3">
      <c r="A264" s="391" t="s">
        <v>502</v>
      </c>
      <c r="B264" s="392" t="s">
        <v>116</v>
      </c>
      <c r="C264" s="393">
        <v>3.75</v>
      </c>
      <c r="D264" s="384" t="s">
        <v>129</v>
      </c>
      <c r="E264" s="385">
        <v>7300</v>
      </c>
      <c r="F264" s="386">
        <f t="shared" si="27"/>
        <v>27375</v>
      </c>
      <c r="G264" s="394">
        <f>+C264*10.76/100</f>
        <v>0.40350000000000003</v>
      </c>
      <c r="I264" s="433"/>
      <c r="J264" s="4"/>
    </row>
    <row r="265" spans="1:10" x14ac:dyDescent="0.3">
      <c r="A265" s="391" t="s">
        <v>503</v>
      </c>
      <c r="B265" s="392" t="s">
        <v>124</v>
      </c>
      <c r="C265" s="393">
        <v>3.75</v>
      </c>
      <c r="D265" s="384" t="s">
        <v>129</v>
      </c>
      <c r="E265" s="385">
        <v>7600</v>
      </c>
      <c r="F265" s="386">
        <f t="shared" si="27"/>
        <v>28500</v>
      </c>
      <c r="I265" s="433"/>
      <c r="J265" s="4"/>
    </row>
    <row r="266" spans="1:10" x14ac:dyDescent="0.3">
      <c r="A266" s="391"/>
      <c r="B266" s="392"/>
      <c r="C266" s="393"/>
      <c r="D266" s="384"/>
      <c r="E266" s="385"/>
      <c r="F266" s="386"/>
      <c r="I266" s="434"/>
      <c r="J266" s="44"/>
    </row>
    <row r="267" spans="1:10" x14ac:dyDescent="0.25">
      <c r="A267" s="391"/>
      <c r="B267" s="392"/>
      <c r="C267" s="393"/>
      <c r="D267" s="384"/>
      <c r="E267" s="385"/>
      <c r="F267" s="386"/>
    </row>
    <row r="268" spans="1:10" s="429" customFormat="1" ht="28.05" customHeight="1" x14ac:dyDescent="0.25">
      <c r="A268" s="400"/>
      <c r="B268" s="401" t="s">
        <v>219</v>
      </c>
      <c r="C268" s="402"/>
      <c r="D268" s="426"/>
      <c r="E268" s="427"/>
      <c r="F268" s="428"/>
      <c r="H268" s="430"/>
    </row>
    <row r="269" spans="1:10" ht="112.05" customHeight="1" x14ac:dyDescent="0.25">
      <c r="A269" s="391" t="s">
        <v>504</v>
      </c>
      <c r="B269" s="392" t="s">
        <v>361</v>
      </c>
      <c r="C269" s="393">
        <v>1183</v>
      </c>
      <c r="D269" s="384" t="s">
        <v>141</v>
      </c>
      <c r="E269" s="385">
        <v>263</v>
      </c>
      <c r="F269" s="386">
        <f>+C269*E269</f>
        <v>311129</v>
      </c>
    </row>
    <row r="270" spans="1:10" x14ac:dyDescent="0.25">
      <c r="A270" s="391"/>
      <c r="B270" s="392"/>
      <c r="C270" s="393"/>
      <c r="D270" s="384"/>
      <c r="E270" s="385"/>
      <c r="F270" s="386"/>
    </row>
    <row r="271" spans="1:10" x14ac:dyDescent="0.25">
      <c r="A271" s="391"/>
      <c r="B271" s="392"/>
      <c r="C271" s="393"/>
      <c r="D271" s="384"/>
      <c r="E271" s="385"/>
      <c r="F271" s="386"/>
    </row>
    <row r="272" spans="1:10" x14ac:dyDescent="0.25">
      <c r="A272" s="391"/>
      <c r="B272" s="392"/>
      <c r="C272" s="393"/>
      <c r="D272" s="384"/>
      <c r="E272" s="385"/>
      <c r="F272" s="386"/>
    </row>
    <row r="273" spans="1:10" x14ac:dyDescent="0.25">
      <c r="A273" s="391"/>
      <c r="B273" s="392"/>
      <c r="C273" s="393"/>
      <c r="D273" s="384"/>
      <c r="E273" s="385"/>
      <c r="F273" s="386"/>
    </row>
    <row r="274" spans="1:10" s="387" customFormat="1" x14ac:dyDescent="0.25">
      <c r="A274" s="409"/>
      <c r="B274" s="410" t="s">
        <v>46</v>
      </c>
      <c r="C274" s="411"/>
      <c r="D274" s="412"/>
      <c r="E274" s="413"/>
      <c r="F274" s="414">
        <f>SUM(F261:F271)</f>
        <v>411105.68</v>
      </c>
      <c r="H274" s="388"/>
    </row>
    <row r="275" spans="1:10" s="387" customFormat="1" ht="28.05" customHeight="1" x14ac:dyDescent="0.25">
      <c r="A275" s="381"/>
      <c r="B275" s="401" t="s">
        <v>220</v>
      </c>
      <c r="C275" s="402"/>
      <c r="D275" s="384"/>
      <c r="E275" s="385"/>
      <c r="F275" s="386"/>
      <c r="H275" s="388"/>
    </row>
    <row r="276" spans="1:10" ht="38.1" customHeight="1" x14ac:dyDescent="0.25">
      <c r="A276" s="391" t="s">
        <v>221</v>
      </c>
      <c r="B276" s="392" t="s">
        <v>363</v>
      </c>
      <c r="C276" s="393">
        <v>4.3899999999999997</v>
      </c>
      <c r="D276" s="384" t="s">
        <v>129</v>
      </c>
      <c r="E276" s="385">
        <v>6440</v>
      </c>
      <c r="F276" s="386">
        <f>+C276*E276</f>
        <v>28271.599999999999</v>
      </c>
      <c r="H276" s="395">
        <f>40.8*10.76/100</f>
        <v>4.3900800000000002</v>
      </c>
    </row>
    <row r="277" spans="1:10" ht="35.25" customHeight="1" x14ac:dyDescent="0.25">
      <c r="A277" s="391" t="s">
        <v>222</v>
      </c>
      <c r="B277" s="392" t="s">
        <v>364</v>
      </c>
      <c r="C277" s="393"/>
      <c r="D277" s="384"/>
      <c r="E277" s="385"/>
      <c r="F277" s="386"/>
      <c r="J277" s="394">
        <v>267</v>
      </c>
    </row>
    <row r="278" spans="1:10" x14ac:dyDescent="0.25">
      <c r="A278" s="391" t="s">
        <v>505</v>
      </c>
      <c r="B278" s="392" t="s">
        <v>61</v>
      </c>
      <c r="C278" s="393">
        <v>17.326827999999999</v>
      </c>
      <c r="D278" s="384" t="s">
        <v>129</v>
      </c>
      <c r="E278" s="385">
        <v>6235</v>
      </c>
      <c r="F278" s="386">
        <f>+C278*E278</f>
        <v>108032.77257999999</v>
      </c>
      <c r="H278" s="395">
        <f>+C278*10.76/100</f>
        <v>1.8643666928</v>
      </c>
    </row>
    <row r="279" spans="1:10" x14ac:dyDescent="0.25">
      <c r="A279" s="391" t="s">
        <v>506</v>
      </c>
      <c r="B279" s="392" t="s">
        <v>62</v>
      </c>
      <c r="C279" s="393">
        <v>22.020340000000001</v>
      </c>
      <c r="D279" s="384" t="s">
        <v>129</v>
      </c>
      <c r="E279" s="385">
        <f>+E278*1.05</f>
        <v>6546.75</v>
      </c>
      <c r="F279" s="386">
        <f t="shared" ref="F279:F284" si="28">+C279*E279</f>
        <v>144161.66089500001</v>
      </c>
      <c r="H279" s="395">
        <f t="shared" ref="H279:H282" si="29">+C279*10.76/100</f>
        <v>2.3693885840000002</v>
      </c>
    </row>
    <row r="280" spans="1:10" x14ac:dyDescent="0.25">
      <c r="A280" s="391" t="s">
        <v>507</v>
      </c>
      <c r="B280" s="392" t="s">
        <v>63</v>
      </c>
      <c r="C280" s="393">
        <v>25.9316</v>
      </c>
      <c r="D280" s="384" t="s">
        <v>129</v>
      </c>
      <c r="E280" s="385">
        <f>+E278*1.1</f>
        <v>6858.5000000000009</v>
      </c>
      <c r="F280" s="386">
        <f t="shared" si="28"/>
        <v>177851.87860000003</v>
      </c>
      <c r="H280" s="395">
        <f t="shared" si="29"/>
        <v>2.7902401600000002</v>
      </c>
    </row>
    <row r="281" spans="1:10" x14ac:dyDescent="0.25">
      <c r="A281" s="391" t="s">
        <v>508</v>
      </c>
      <c r="B281" s="392" t="s">
        <v>116</v>
      </c>
      <c r="C281" s="393">
        <v>14.462515999999999</v>
      </c>
      <c r="D281" s="384" t="s">
        <v>129</v>
      </c>
      <c r="E281" s="385">
        <f>+E278*1.15</f>
        <v>7170.2499999999991</v>
      </c>
      <c r="F281" s="386">
        <f t="shared" si="28"/>
        <v>103699.85534899998</v>
      </c>
      <c r="H281" s="395">
        <f t="shared" si="29"/>
        <v>1.5561667215999997</v>
      </c>
    </row>
    <row r="282" spans="1:10" x14ac:dyDescent="0.25">
      <c r="A282" s="391" t="s">
        <v>509</v>
      </c>
      <c r="B282" s="392" t="s">
        <v>124</v>
      </c>
      <c r="C282" s="393">
        <v>1.516084</v>
      </c>
      <c r="D282" s="384" t="s">
        <v>129</v>
      </c>
      <c r="E282" s="385">
        <f>+E278*1.2</f>
        <v>7482</v>
      </c>
      <c r="F282" s="386">
        <f t="shared" si="28"/>
        <v>11343.340488</v>
      </c>
      <c r="H282" s="395">
        <f t="shared" si="29"/>
        <v>0.16313063839999997</v>
      </c>
    </row>
    <row r="283" spans="1:10" x14ac:dyDescent="0.3">
      <c r="A283" s="391"/>
      <c r="B283" s="434"/>
      <c r="C283" s="44"/>
      <c r="D283" s="384"/>
      <c r="E283" s="385"/>
      <c r="F283" s="386"/>
    </row>
    <row r="284" spans="1:10" ht="41.4" x14ac:dyDescent="0.25">
      <c r="A284" s="391" t="s">
        <v>223</v>
      </c>
      <c r="B284" s="392" t="s">
        <v>365</v>
      </c>
      <c r="C284" s="393">
        <v>532</v>
      </c>
      <c r="D284" s="384" t="s">
        <v>167</v>
      </c>
      <c r="E284" s="385">
        <v>196</v>
      </c>
      <c r="F284" s="386">
        <f t="shared" si="28"/>
        <v>104272</v>
      </c>
      <c r="J284" s="394">
        <v>162</v>
      </c>
    </row>
    <row r="285" spans="1:10" ht="34.5" customHeight="1" x14ac:dyDescent="0.25">
      <c r="A285" s="391" t="s">
        <v>224</v>
      </c>
      <c r="B285" s="392" t="s">
        <v>366</v>
      </c>
      <c r="C285" s="393"/>
      <c r="D285" s="384"/>
      <c r="E285" s="385"/>
      <c r="F285" s="386"/>
      <c r="J285" s="394">
        <f>+J277*2-J284</f>
        <v>372</v>
      </c>
    </row>
    <row r="286" spans="1:10" x14ac:dyDescent="0.25">
      <c r="A286" s="391" t="s">
        <v>510</v>
      </c>
      <c r="B286" s="392" t="s">
        <v>61</v>
      </c>
      <c r="C286" s="393">
        <v>34.118884000000001</v>
      </c>
      <c r="D286" s="384" t="s">
        <v>129</v>
      </c>
      <c r="E286" s="385">
        <v>8315</v>
      </c>
      <c r="F286" s="386">
        <f>+C286*E286</f>
        <v>283698.52046000003</v>
      </c>
      <c r="H286" s="395">
        <f>+C286*10.76/100</f>
        <v>3.6711919183999999</v>
      </c>
    </row>
    <row r="287" spans="1:10" x14ac:dyDescent="0.25">
      <c r="A287" s="391" t="s">
        <v>512</v>
      </c>
      <c r="B287" s="392" t="s">
        <v>62</v>
      </c>
      <c r="C287" s="393">
        <v>38.203380000000003</v>
      </c>
      <c r="D287" s="384" t="s">
        <v>129</v>
      </c>
      <c r="E287" s="385">
        <f>+E286*1.05</f>
        <v>8730.75</v>
      </c>
      <c r="F287" s="386">
        <f t="shared" ref="F287:F292" si="30">+C287*E287</f>
        <v>333544.159935</v>
      </c>
      <c r="H287" s="395">
        <f t="shared" ref="H287:H290" si="31">+C287*10.76/100</f>
        <v>4.1106836879999999</v>
      </c>
    </row>
    <row r="288" spans="1:10" x14ac:dyDescent="0.25">
      <c r="A288" s="391" t="s">
        <v>513</v>
      </c>
      <c r="B288" s="392" t="s">
        <v>63</v>
      </c>
      <c r="C288" s="393">
        <v>29.168208</v>
      </c>
      <c r="D288" s="384" t="s">
        <v>129</v>
      </c>
      <c r="E288" s="385">
        <f>+E286*1.1</f>
        <v>9146.5</v>
      </c>
      <c r="F288" s="386">
        <f t="shared" si="30"/>
        <v>266787.01447200001</v>
      </c>
      <c r="H288" s="395">
        <f t="shared" si="31"/>
        <v>3.1384991808000002</v>
      </c>
    </row>
    <row r="289" spans="1:8" x14ac:dyDescent="0.25">
      <c r="A289" s="391" t="s">
        <v>511</v>
      </c>
      <c r="B289" s="392" t="s">
        <v>116</v>
      </c>
      <c r="C289" s="393">
        <v>14.462515999999999</v>
      </c>
      <c r="D289" s="384" t="s">
        <v>129</v>
      </c>
      <c r="E289" s="385">
        <f>+E286*1.15</f>
        <v>9562.25</v>
      </c>
      <c r="F289" s="386">
        <f t="shared" si="30"/>
        <v>138294.19362099998</v>
      </c>
      <c r="H289" s="395">
        <f t="shared" si="31"/>
        <v>1.5561667215999997</v>
      </c>
    </row>
    <row r="290" spans="1:8" x14ac:dyDescent="0.25">
      <c r="A290" s="391" t="s">
        <v>514</v>
      </c>
      <c r="B290" s="392" t="s">
        <v>124</v>
      </c>
      <c r="C290" s="393">
        <v>1.516084</v>
      </c>
      <c r="D290" s="384" t="s">
        <v>129</v>
      </c>
      <c r="E290" s="385">
        <f>+E286*1.2</f>
        <v>9978</v>
      </c>
      <c r="F290" s="386">
        <f t="shared" si="30"/>
        <v>15127.486151999999</v>
      </c>
      <c r="H290" s="395">
        <f t="shared" si="31"/>
        <v>0.16313063839999997</v>
      </c>
    </row>
    <row r="291" spans="1:8" x14ac:dyDescent="0.25">
      <c r="A291" s="391"/>
      <c r="B291" s="392"/>
      <c r="C291" s="393"/>
      <c r="D291" s="384"/>
      <c r="E291" s="385"/>
      <c r="F291" s="386"/>
    </row>
    <row r="292" spans="1:8" ht="27.6" x14ac:dyDescent="0.25">
      <c r="A292" s="391" t="s">
        <v>225</v>
      </c>
      <c r="B292" s="392" t="s">
        <v>367</v>
      </c>
      <c r="C292" s="393">
        <v>1220</v>
      </c>
      <c r="D292" s="384" t="s">
        <v>167</v>
      </c>
      <c r="E292" s="385">
        <v>162</v>
      </c>
      <c r="F292" s="386">
        <f t="shared" si="30"/>
        <v>197640</v>
      </c>
    </row>
    <row r="293" spans="1:8" x14ac:dyDescent="0.25">
      <c r="A293" s="391"/>
      <c r="B293" s="392"/>
      <c r="C293" s="393"/>
      <c r="D293" s="384"/>
      <c r="E293" s="385"/>
      <c r="F293" s="386"/>
    </row>
    <row r="294" spans="1:8" ht="55.05" customHeight="1" x14ac:dyDescent="0.25">
      <c r="A294" s="391" t="s">
        <v>226</v>
      </c>
      <c r="B294" s="392" t="s">
        <v>227</v>
      </c>
      <c r="C294" s="393"/>
      <c r="D294" s="384"/>
      <c r="E294" s="385"/>
      <c r="F294" s="386"/>
    </row>
    <row r="295" spans="1:8" x14ac:dyDescent="0.25">
      <c r="A295" s="391" t="s">
        <v>515</v>
      </c>
      <c r="B295" s="392" t="s">
        <v>61</v>
      </c>
      <c r="C295" s="393">
        <v>25.410816000000001</v>
      </c>
      <c r="D295" s="384" t="s">
        <v>129</v>
      </c>
      <c r="E295" s="385">
        <v>9505</v>
      </c>
      <c r="F295" s="386">
        <f>+C295*E295</f>
        <v>241529.80608000001</v>
      </c>
      <c r="H295" s="395">
        <f>+C295*10.76/100</f>
        <v>2.7342038015999997</v>
      </c>
    </row>
    <row r="296" spans="1:8" x14ac:dyDescent="0.25">
      <c r="A296" s="391" t="s">
        <v>516</v>
      </c>
      <c r="B296" s="392" t="s">
        <v>62</v>
      </c>
      <c r="C296" s="393">
        <v>20.624768</v>
      </c>
      <c r="D296" s="384" t="s">
        <v>129</v>
      </c>
      <c r="E296" s="385">
        <f>+E295*1.05</f>
        <v>9980.25</v>
      </c>
      <c r="F296" s="386">
        <f t="shared" ref="F296:F298" si="32">+C296*E296</f>
        <v>205840.34083199999</v>
      </c>
      <c r="H296" s="395">
        <f t="shared" ref="H296:H298" si="33">+C296*10.76/100</f>
        <v>2.2192250367999997</v>
      </c>
    </row>
    <row r="297" spans="1:8" x14ac:dyDescent="0.25">
      <c r="A297" s="391" t="s">
        <v>517</v>
      </c>
      <c r="B297" s="392" t="s">
        <v>63</v>
      </c>
      <c r="C297" s="393">
        <v>12.541856000000001</v>
      </c>
      <c r="D297" s="384" t="s">
        <v>129</v>
      </c>
      <c r="E297" s="385">
        <f>+E295*1.1</f>
        <v>10455.5</v>
      </c>
      <c r="F297" s="386">
        <f t="shared" si="32"/>
        <v>131131.37540800002</v>
      </c>
      <c r="H297" s="395">
        <f t="shared" si="33"/>
        <v>1.3495037056000001</v>
      </c>
    </row>
    <row r="298" spans="1:8" x14ac:dyDescent="0.25">
      <c r="A298" s="391" t="s">
        <v>518</v>
      </c>
      <c r="B298" s="392" t="s">
        <v>116</v>
      </c>
      <c r="C298" s="393">
        <v>5.8706560000000003</v>
      </c>
      <c r="D298" s="384" t="s">
        <v>129</v>
      </c>
      <c r="E298" s="385">
        <f>+E295*1.15</f>
        <v>10930.75</v>
      </c>
      <c r="F298" s="386">
        <f t="shared" si="32"/>
        <v>64170.673072000005</v>
      </c>
      <c r="H298" s="395">
        <f t="shared" si="33"/>
        <v>0.63168258560000001</v>
      </c>
    </row>
    <row r="299" spans="1:8" x14ac:dyDescent="0.25">
      <c r="A299" s="391"/>
      <c r="B299" s="392"/>
      <c r="C299" s="393"/>
      <c r="D299" s="384"/>
      <c r="E299" s="385"/>
      <c r="F299" s="386"/>
    </row>
    <row r="300" spans="1:8" x14ac:dyDescent="0.25">
      <c r="A300" s="391"/>
      <c r="B300" s="392"/>
      <c r="C300" s="393"/>
      <c r="D300" s="384"/>
      <c r="E300" s="385"/>
      <c r="F300" s="386"/>
    </row>
    <row r="301" spans="1:8" x14ac:dyDescent="0.25">
      <c r="A301" s="391"/>
      <c r="B301" s="392"/>
      <c r="C301" s="393"/>
      <c r="D301" s="384"/>
      <c r="E301" s="385"/>
      <c r="F301" s="386"/>
    </row>
    <row r="302" spans="1:8" x14ac:dyDescent="0.25">
      <c r="A302" s="391"/>
      <c r="B302" s="392"/>
      <c r="C302" s="393"/>
      <c r="D302" s="384"/>
      <c r="E302" s="385"/>
      <c r="F302" s="386"/>
    </row>
    <row r="303" spans="1:8" s="387" customFormat="1" x14ac:dyDescent="0.25">
      <c r="A303" s="409"/>
      <c r="B303" s="410" t="s">
        <v>46</v>
      </c>
      <c r="C303" s="411"/>
      <c r="D303" s="412"/>
      <c r="E303" s="413"/>
      <c r="F303" s="414">
        <f>SUM(F276:F301)</f>
        <v>2555396.6779439999</v>
      </c>
      <c r="H303" s="388"/>
    </row>
    <row r="304" spans="1:8" s="387" customFormat="1" ht="28.05" customHeight="1" x14ac:dyDescent="0.25">
      <c r="A304" s="381"/>
      <c r="B304" s="401" t="s">
        <v>228</v>
      </c>
      <c r="C304" s="402"/>
      <c r="D304" s="384"/>
      <c r="E304" s="385"/>
      <c r="F304" s="386"/>
      <c r="H304" s="388"/>
    </row>
    <row r="305" spans="1:8" s="387" customFormat="1" ht="20.100000000000001" customHeight="1" x14ac:dyDescent="0.25">
      <c r="A305" s="381"/>
      <c r="B305" s="389" t="s">
        <v>175</v>
      </c>
      <c r="C305" s="390"/>
      <c r="D305" s="384"/>
      <c r="E305" s="385"/>
      <c r="F305" s="386"/>
      <c r="H305" s="388"/>
    </row>
    <row r="306" spans="1:8" s="387" customFormat="1" ht="38.1" customHeight="1" x14ac:dyDescent="0.25">
      <c r="A306" s="381"/>
      <c r="B306" s="396" t="s">
        <v>229</v>
      </c>
      <c r="C306" s="397"/>
      <c r="D306" s="384"/>
      <c r="E306" s="385"/>
      <c r="F306" s="386"/>
      <c r="H306" s="388"/>
    </row>
    <row r="307" spans="1:8" s="387" customFormat="1" ht="36.75" customHeight="1" x14ac:dyDescent="0.25">
      <c r="A307" s="381"/>
      <c r="B307" s="396" t="s">
        <v>230</v>
      </c>
      <c r="C307" s="397"/>
      <c r="D307" s="384"/>
      <c r="E307" s="385"/>
      <c r="F307" s="386"/>
      <c r="H307" s="388"/>
    </row>
    <row r="308" spans="1:8" s="387" customFormat="1" ht="25.05" customHeight="1" x14ac:dyDescent="0.25">
      <c r="A308" s="381"/>
      <c r="B308" s="389" t="s">
        <v>231</v>
      </c>
      <c r="C308" s="390"/>
      <c r="D308" s="384"/>
      <c r="E308" s="385"/>
      <c r="F308" s="386"/>
      <c r="H308" s="388"/>
    </row>
    <row r="309" spans="1:8" ht="81.75" customHeight="1" x14ac:dyDescent="0.25">
      <c r="A309" s="391" t="s">
        <v>519</v>
      </c>
      <c r="B309" s="392" t="s">
        <v>368</v>
      </c>
      <c r="C309" s="393"/>
      <c r="D309" s="384"/>
      <c r="E309" s="385"/>
      <c r="F309" s="386"/>
    </row>
    <row r="310" spans="1:8" x14ac:dyDescent="0.25">
      <c r="A310" s="391" t="s">
        <v>520</v>
      </c>
      <c r="B310" s="392" t="s">
        <v>62</v>
      </c>
      <c r="C310" s="393">
        <v>9.41</v>
      </c>
      <c r="D310" s="384" t="s">
        <v>129</v>
      </c>
      <c r="E310" s="385">
        <v>38440</v>
      </c>
      <c r="F310" s="386">
        <f>+C310*E310</f>
        <v>361720.4</v>
      </c>
      <c r="H310" s="395">
        <f>+C310*10.76/100</f>
        <v>1.012516</v>
      </c>
    </row>
    <row r="311" spans="1:8" x14ac:dyDescent="0.25">
      <c r="A311" s="391" t="s">
        <v>521</v>
      </c>
      <c r="B311" s="392" t="s">
        <v>63</v>
      </c>
      <c r="C311" s="393">
        <v>2.2599999999999998</v>
      </c>
      <c r="D311" s="384" t="s">
        <v>129</v>
      </c>
      <c r="E311" s="385">
        <f>+E310*1.02</f>
        <v>39208.800000000003</v>
      </c>
      <c r="F311" s="386">
        <f t="shared" ref="F311:F313" si="34">+C311*E311</f>
        <v>88611.887999999992</v>
      </c>
      <c r="H311" s="395">
        <f t="shared" ref="H311" si="35">+C311*10.76/100</f>
        <v>0.24317599999999998</v>
      </c>
    </row>
    <row r="312" spans="1:8" x14ac:dyDescent="0.25">
      <c r="A312" s="391"/>
      <c r="B312" s="392"/>
      <c r="C312" s="393"/>
      <c r="D312" s="384"/>
      <c r="E312" s="385"/>
      <c r="F312" s="386"/>
    </row>
    <row r="313" spans="1:8" x14ac:dyDescent="0.25">
      <c r="A313" s="391" t="s">
        <v>232</v>
      </c>
      <c r="B313" s="392" t="s">
        <v>234</v>
      </c>
      <c r="C313" s="393">
        <f>+C310+C311</f>
        <v>11.67</v>
      </c>
      <c r="D313" s="384" t="s">
        <v>129</v>
      </c>
      <c r="E313" s="385">
        <v>5985</v>
      </c>
      <c r="F313" s="386">
        <f t="shared" si="34"/>
        <v>69844.95</v>
      </c>
    </row>
    <row r="314" spans="1:8" s="387" customFormat="1" ht="28.05" customHeight="1" x14ac:dyDescent="0.25">
      <c r="A314" s="381"/>
      <c r="B314" s="389" t="s">
        <v>235</v>
      </c>
      <c r="C314" s="390"/>
      <c r="D314" s="384"/>
      <c r="E314" s="385"/>
      <c r="F314" s="386"/>
      <c r="H314" s="388"/>
    </row>
    <row r="315" spans="1:8" s="387" customFormat="1" ht="20.100000000000001" customHeight="1" x14ac:dyDescent="0.25">
      <c r="A315" s="381"/>
      <c r="B315" s="389" t="s">
        <v>236</v>
      </c>
      <c r="C315" s="390"/>
      <c r="D315" s="384"/>
      <c r="E315" s="385"/>
      <c r="F315" s="386"/>
      <c r="H315" s="388"/>
    </row>
    <row r="316" spans="1:8" s="387" customFormat="1" ht="88.05" customHeight="1" x14ac:dyDescent="0.25">
      <c r="A316" s="381"/>
      <c r="B316" s="396" t="s">
        <v>237</v>
      </c>
      <c r="C316" s="397"/>
      <c r="D316" s="384"/>
      <c r="E316" s="385"/>
      <c r="F316" s="386"/>
      <c r="H316" s="388"/>
    </row>
    <row r="317" spans="1:8" ht="55.05" customHeight="1" x14ac:dyDescent="0.25">
      <c r="A317" s="391" t="s">
        <v>522</v>
      </c>
      <c r="B317" s="392" t="s">
        <v>369</v>
      </c>
      <c r="C317" s="393"/>
      <c r="D317" s="384" t="s">
        <v>129</v>
      </c>
      <c r="E317" s="385">
        <v>40360</v>
      </c>
      <c r="F317" s="386"/>
    </row>
    <row r="318" spans="1:8" x14ac:dyDescent="0.25">
      <c r="A318" s="391" t="s">
        <v>523</v>
      </c>
      <c r="B318" s="392" t="s">
        <v>61</v>
      </c>
      <c r="C318" s="393">
        <v>22.079519999999999</v>
      </c>
      <c r="D318" s="384" t="s">
        <v>129</v>
      </c>
      <c r="E318" s="385">
        <v>40360</v>
      </c>
      <c r="F318" s="386">
        <f>+C318*E318</f>
        <v>891129.42719999992</v>
      </c>
      <c r="H318" s="395">
        <f>+C318*10.76/100</f>
        <v>2.3757563519999998</v>
      </c>
    </row>
    <row r="319" spans="1:8" x14ac:dyDescent="0.25">
      <c r="A319" s="391" t="s">
        <v>524</v>
      </c>
      <c r="B319" s="392" t="s">
        <v>62</v>
      </c>
      <c r="C319" s="393">
        <v>27.377743999999996</v>
      </c>
      <c r="D319" s="384" t="s">
        <v>129</v>
      </c>
      <c r="E319" s="385">
        <f>+E318*1.02</f>
        <v>41167.199999999997</v>
      </c>
      <c r="F319" s="386">
        <f t="shared" ref="F319:F324" si="36">+C319*E319</f>
        <v>1127065.0627967997</v>
      </c>
      <c r="H319" s="395">
        <f t="shared" ref="H319:H320" si="37">+C319*10.76/100</f>
        <v>2.9458452543999996</v>
      </c>
    </row>
    <row r="320" spans="1:8" x14ac:dyDescent="0.25">
      <c r="A320" s="391" t="s">
        <v>525</v>
      </c>
      <c r="B320" s="392" t="s">
        <v>63</v>
      </c>
      <c r="C320" s="393">
        <v>27.377743999999996</v>
      </c>
      <c r="D320" s="384" t="s">
        <v>129</v>
      </c>
      <c r="E320" s="385">
        <f>+E318*1.04</f>
        <v>41974.400000000001</v>
      </c>
      <c r="F320" s="386">
        <f t="shared" si="36"/>
        <v>1149164.3777535998</v>
      </c>
      <c r="H320" s="395">
        <f t="shared" si="37"/>
        <v>2.9458452543999996</v>
      </c>
    </row>
    <row r="321" spans="1:18" x14ac:dyDescent="0.25">
      <c r="A321" s="391"/>
      <c r="B321" s="392"/>
      <c r="C321" s="393"/>
      <c r="D321" s="384"/>
      <c r="E321" s="385"/>
      <c r="F321" s="386"/>
    </row>
    <row r="322" spans="1:18" ht="60" customHeight="1" x14ac:dyDescent="0.25">
      <c r="A322" s="391" t="s">
        <v>233</v>
      </c>
      <c r="B322" s="392" t="s">
        <v>370</v>
      </c>
      <c r="C322" s="393">
        <v>3.49</v>
      </c>
      <c r="D322" s="384" t="s">
        <v>129</v>
      </c>
      <c r="E322" s="385">
        <v>51440</v>
      </c>
      <c r="F322" s="386">
        <f t="shared" si="36"/>
        <v>179525.6</v>
      </c>
    </row>
    <row r="323" spans="1:18" ht="35.25" customHeight="1" x14ac:dyDescent="0.25">
      <c r="A323" s="391" t="s">
        <v>238</v>
      </c>
      <c r="B323" s="392" t="s">
        <v>372</v>
      </c>
      <c r="C323" s="393">
        <v>498</v>
      </c>
      <c r="D323" s="384" t="s">
        <v>373</v>
      </c>
      <c r="E323" s="385">
        <v>140</v>
      </c>
      <c r="F323" s="386">
        <f t="shared" si="36"/>
        <v>69720</v>
      </c>
    </row>
    <row r="324" spans="1:18" ht="35.25" customHeight="1" x14ac:dyDescent="0.25">
      <c r="A324" s="391" t="s">
        <v>526</v>
      </c>
      <c r="B324" s="392" t="s">
        <v>371</v>
      </c>
      <c r="C324" s="393">
        <v>144</v>
      </c>
      <c r="D324" s="384" t="s">
        <v>373</v>
      </c>
      <c r="E324" s="385">
        <v>177</v>
      </c>
      <c r="F324" s="386">
        <f t="shared" si="36"/>
        <v>25488</v>
      </c>
    </row>
    <row r="325" spans="1:18" x14ac:dyDescent="0.25">
      <c r="A325" s="391"/>
      <c r="B325" s="392"/>
      <c r="C325" s="393"/>
      <c r="D325" s="384"/>
      <c r="E325" s="385"/>
      <c r="F325" s="386"/>
    </row>
    <row r="326" spans="1:18" x14ac:dyDescent="0.25">
      <c r="A326" s="391"/>
      <c r="B326" s="392"/>
      <c r="C326" s="393"/>
      <c r="D326" s="384"/>
      <c r="E326" s="385"/>
      <c r="F326" s="386"/>
    </row>
    <row r="327" spans="1:18" x14ac:dyDescent="0.25">
      <c r="A327" s="391"/>
      <c r="B327" s="392"/>
      <c r="C327" s="393"/>
      <c r="D327" s="384"/>
      <c r="E327" s="385"/>
      <c r="F327" s="386"/>
    </row>
    <row r="328" spans="1:18" s="387" customFormat="1" x14ac:dyDescent="0.25">
      <c r="A328" s="409"/>
      <c r="B328" s="410" t="s">
        <v>46</v>
      </c>
      <c r="C328" s="411"/>
      <c r="D328" s="412"/>
      <c r="E328" s="413"/>
      <c r="F328" s="414">
        <f>SUM(F309:F326)</f>
        <v>3962269.7057503997</v>
      </c>
      <c r="H328" s="388"/>
    </row>
    <row r="329" spans="1:18" s="336" customFormat="1" ht="45" customHeight="1" x14ac:dyDescent="0.25">
      <c r="A329" s="421"/>
      <c r="B329" s="401" t="s">
        <v>239</v>
      </c>
      <c r="C329" s="402"/>
      <c r="D329" s="384"/>
      <c r="E329" s="385"/>
      <c r="F329" s="386"/>
      <c r="H329" s="337"/>
    </row>
    <row r="330" spans="1:18" ht="27.6" x14ac:dyDescent="0.25">
      <c r="A330" s="391" t="s">
        <v>527</v>
      </c>
      <c r="B330" s="392" t="s">
        <v>375</v>
      </c>
      <c r="C330" s="393"/>
      <c r="D330" s="384"/>
      <c r="E330" s="385"/>
      <c r="F330" s="386"/>
    </row>
    <row r="331" spans="1:18" x14ac:dyDescent="0.25">
      <c r="A331" s="391" t="s">
        <v>528</v>
      </c>
      <c r="B331" s="392" t="s">
        <v>61</v>
      </c>
      <c r="C331" s="393">
        <v>76.86</v>
      </c>
      <c r="D331" s="384" t="s">
        <v>129</v>
      </c>
      <c r="E331" s="385">
        <v>2550</v>
      </c>
      <c r="F331" s="386">
        <f t="shared" ref="F331:F335" si="38">+C331*E331</f>
        <v>195993</v>
      </c>
      <c r="H331" s="395">
        <v>827.03</v>
      </c>
      <c r="I331" s="394">
        <v>161.03</v>
      </c>
      <c r="J331" s="394">
        <v>273.78000000000003</v>
      </c>
      <c r="K331" s="394">
        <f>+H331*10.76/100</f>
        <v>88.988427999999999</v>
      </c>
      <c r="L331" s="394">
        <f>+I331*10.76/100</f>
        <v>17.326827999999999</v>
      </c>
      <c r="M331" s="394">
        <f>+J331*10.76/100</f>
        <v>29.458728000000001</v>
      </c>
      <c r="N331" s="394">
        <f>+K331-M331</f>
        <v>59.529699999999998</v>
      </c>
      <c r="P331" s="394">
        <f>+L331+N331</f>
        <v>76.856527999999997</v>
      </c>
      <c r="R331" s="394">
        <f>SUM(K331:L331)</f>
        <v>106.31525600000001</v>
      </c>
    </row>
    <row r="332" spans="1:18" x14ac:dyDescent="0.25">
      <c r="A332" s="391" t="s">
        <v>529</v>
      </c>
      <c r="B332" s="392" t="s">
        <v>62</v>
      </c>
      <c r="C332" s="393">
        <v>80.849999999999994</v>
      </c>
      <c r="D332" s="384" t="s">
        <v>129</v>
      </c>
      <c r="E332" s="385">
        <f>+E331*1.03</f>
        <v>2626.5</v>
      </c>
      <c r="F332" s="386">
        <f t="shared" si="38"/>
        <v>212352.52499999999</v>
      </c>
      <c r="H332" s="395">
        <v>820.51</v>
      </c>
      <c r="I332" s="394">
        <v>204.65</v>
      </c>
      <c r="J332" s="394">
        <v>273.78000000000003</v>
      </c>
      <c r="K332" s="394">
        <f t="shared" ref="K332:M335" si="39">+H332*10.76/100</f>
        <v>88.286875999999992</v>
      </c>
      <c r="L332" s="394">
        <f t="shared" si="39"/>
        <v>22.020340000000001</v>
      </c>
      <c r="M332" s="394">
        <f t="shared" si="39"/>
        <v>29.458728000000001</v>
      </c>
      <c r="N332" s="394">
        <f t="shared" ref="N332:N335" si="40">+K332-M332</f>
        <v>58.828147999999992</v>
      </c>
      <c r="P332" s="394">
        <f t="shared" ref="P332:P335" si="41">+L332+N332</f>
        <v>80.848487999999989</v>
      </c>
      <c r="R332" s="394">
        <f>SUM(K332:L332)</f>
        <v>110.307216</v>
      </c>
    </row>
    <row r="333" spans="1:18" x14ac:dyDescent="0.25">
      <c r="A333" s="391" t="s">
        <v>530</v>
      </c>
      <c r="B333" s="392" t="s">
        <v>63</v>
      </c>
      <c r="C333" s="393">
        <v>67.64</v>
      </c>
      <c r="D333" s="384" t="s">
        <v>129</v>
      </c>
      <c r="E333" s="385">
        <f>+E331*1.06</f>
        <v>2703</v>
      </c>
      <c r="F333" s="386">
        <f t="shared" si="38"/>
        <v>182830.92</v>
      </c>
      <c r="H333" s="395">
        <v>416.72</v>
      </c>
      <c r="I333" s="394">
        <v>241</v>
      </c>
      <c r="J333" s="394">
        <v>29.08</v>
      </c>
      <c r="K333" s="394">
        <f t="shared" si="39"/>
        <v>44.839072000000009</v>
      </c>
      <c r="L333" s="394">
        <f t="shared" si="39"/>
        <v>25.9316</v>
      </c>
      <c r="M333" s="394">
        <f t="shared" si="39"/>
        <v>3.1290080000000002</v>
      </c>
      <c r="N333" s="394">
        <f t="shared" si="40"/>
        <v>41.71006400000001</v>
      </c>
      <c r="P333" s="394">
        <f t="shared" si="41"/>
        <v>67.641664000000006</v>
      </c>
      <c r="R333" s="394">
        <f>SUM(K333:L333)</f>
        <v>70.770672000000005</v>
      </c>
    </row>
    <row r="334" spans="1:18" x14ac:dyDescent="0.25">
      <c r="A334" s="391" t="s">
        <v>531</v>
      </c>
      <c r="B334" s="392" t="s">
        <v>116</v>
      </c>
      <c r="C334" s="393">
        <v>34.799999999999997</v>
      </c>
      <c r="D334" s="384" t="s">
        <v>129</v>
      </c>
      <c r="E334" s="385">
        <f>+E331*1.09</f>
        <v>2779.5</v>
      </c>
      <c r="F334" s="386">
        <f t="shared" si="38"/>
        <v>96726.599999999991</v>
      </c>
      <c r="H334" s="395">
        <v>218.05</v>
      </c>
      <c r="I334" s="394">
        <v>134.41</v>
      </c>
      <c r="J334" s="394">
        <v>29.08</v>
      </c>
      <c r="K334" s="394">
        <f t="shared" si="39"/>
        <v>23.462180000000004</v>
      </c>
      <c r="L334" s="394">
        <f t="shared" si="39"/>
        <v>14.462515999999999</v>
      </c>
      <c r="M334" s="394">
        <f t="shared" si="39"/>
        <v>3.1290080000000002</v>
      </c>
      <c r="N334" s="394">
        <f t="shared" si="40"/>
        <v>20.333172000000005</v>
      </c>
      <c r="P334" s="394">
        <f t="shared" si="41"/>
        <v>34.795688000000006</v>
      </c>
      <c r="R334" s="394">
        <f>SUM(K334:L334)</f>
        <v>37.924696000000004</v>
      </c>
    </row>
    <row r="335" spans="1:18" x14ac:dyDescent="0.25">
      <c r="A335" s="391" t="s">
        <v>532</v>
      </c>
      <c r="B335" s="392" t="s">
        <v>124</v>
      </c>
      <c r="C335" s="393">
        <v>3.03</v>
      </c>
      <c r="D335" s="384" t="s">
        <v>129</v>
      </c>
      <c r="E335" s="385">
        <f>+E331*1.12</f>
        <v>2856.0000000000005</v>
      </c>
      <c r="F335" s="386">
        <f t="shared" si="38"/>
        <v>8653.68</v>
      </c>
      <c r="H335" s="395">
        <v>14.09</v>
      </c>
      <c r="I335" s="394">
        <v>14.09</v>
      </c>
      <c r="K335" s="394">
        <f t="shared" si="39"/>
        <v>1.516084</v>
      </c>
      <c r="L335" s="394">
        <f t="shared" si="39"/>
        <v>1.516084</v>
      </c>
      <c r="M335" s="394">
        <f t="shared" si="39"/>
        <v>0</v>
      </c>
      <c r="N335" s="394">
        <f t="shared" si="40"/>
        <v>1.516084</v>
      </c>
      <c r="P335" s="394">
        <f t="shared" si="41"/>
        <v>3.032168</v>
      </c>
      <c r="R335" s="394">
        <f>SUM(K335:L335)</f>
        <v>3.032168</v>
      </c>
    </row>
    <row r="336" spans="1:18" x14ac:dyDescent="0.25">
      <c r="A336" s="391"/>
      <c r="B336" s="392"/>
      <c r="C336" s="393"/>
      <c r="D336" s="384"/>
      <c r="E336" s="385"/>
      <c r="F336" s="386"/>
    </row>
    <row r="337" spans="1:6" ht="38.1" customHeight="1" x14ac:dyDescent="0.25">
      <c r="A337" s="391" t="s">
        <v>533</v>
      </c>
      <c r="B337" s="392" t="s">
        <v>374</v>
      </c>
      <c r="C337" s="393"/>
      <c r="D337" s="384"/>
      <c r="E337" s="385"/>
      <c r="F337" s="386"/>
    </row>
    <row r="338" spans="1:6" x14ac:dyDescent="0.25">
      <c r="A338" s="391" t="s">
        <v>534</v>
      </c>
      <c r="B338" s="392" t="s">
        <v>61</v>
      </c>
      <c r="C338" s="393">
        <v>59.529699999999998</v>
      </c>
      <c r="D338" s="384" t="s">
        <v>129</v>
      </c>
      <c r="E338" s="385">
        <v>2375</v>
      </c>
      <c r="F338" s="386">
        <f t="shared" ref="F338:F342" si="42">+C338*E338</f>
        <v>141383.03750000001</v>
      </c>
    </row>
    <row r="339" spans="1:6" x14ac:dyDescent="0.25">
      <c r="A339" s="391" t="s">
        <v>537</v>
      </c>
      <c r="B339" s="392" t="s">
        <v>62</v>
      </c>
      <c r="C339" s="393">
        <v>58.828147999999992</v>
      </c>
      <c r="D339" s="384" t="s">
        <v>129</v>
      </c>
      <c r="E339" s="385">
        <f>+E338*1.03</f>
        <v>2446.25</v>
      </c>
      <c r="F339" s="386">
        <f t="shared" si="42"/>
        <v>143908.35704499998</v>
      </c>
    </row>
    <row r="340" spans="1:6" x14ac:dyDescent="0.25">
      <c r="A340" s="391" t="s">
        <v>538</v>
      </c>
      <c r="B340" s="392" t="s">
        <v>63</v>
      </c>
      <c r="C340" s="393">
        <v>41.71006400000001</v>
      </c>
      <c r="D340" s="384" t="s">
        <v>129</v>
      </c>
      <c r="E340" s="385">
        <f>+E338*1.06</f>
        <v>2517.5</v>
      </c>
      <c r="F340" s="386">
        <f t="shared" si="42"/>
        <v>105005.08612000002</v>
      </c>
    </row>
    <row r="341" spans="1:6" x14ac:dyDescent="0.25">
      <c r="A341" s="391" t="s">
        <v>536</v>
      </c>
      <c r="B341" s="392" t="s">
        <v>116</v>
      </c>
      <c r="C341" s="393">
        <v>20.333172000000005</v>
      </c>
      <c r="D341" s="384" t="s">
        <v>129</v>
      </c>
      <c r="E341" s="385">
        <f>+E338*1.09</f>
        <v>2588.75</v>
      </c>
      <c r="F341" s="386">
        <f t="shared" si="42"/>
        <v>52637.499015000009</v>
      </c>
    </row>
    <row r="342" spans="1:6" x14ac:dyDescent="0.25">
      <c r="A342" s="391" t="s">
        <v>535</v>
      </c>
      <c r="B342" s="392" t="s">
        <v>124</v>
      </c>
      <c r="C342" s="393">
        <v>1.516084</v>
      </c>
      <c r="D342" s="384" t="s">
        <v>129</v>
      </c>
      <c r="E342" s="385">
        <f>+E338*1.12</f>
        <v>2660.0000000000005</v>
      </c>
      <c r="F342" s="386">
        <f t="shared" si="42"/>
        <v>4032.7834400000006</v>
      </c>
    </row>
    <row r="343" spans="1:6" x14ac:dyDescent="0.25">
      <c r="A343" s="391"/>
      <c r="B343" s="392"/>
      <c r="C343" s="393"/>
      <c r="D343" s="384"/>
      <c r="E343" s="385"/>
      <c r="F343" s="386"/>
    </row>
    <row r="344" spans="1:6" ht="37.5" customHeight="1" x14ac:dyDescent="0.25">
      <c r="A344" s="391" t="s">
        <v>240</v>
      </c>
      <c r="B344" s="392" t="s">
        <v>376</v>
      </c>
      <c r="C344" s="393"/>
      <c r="D344" s="384"/>
      <c r="E344" s="385"/>
      <c r="F344" s="386"/>
    </row>
    <row r="345" spans="1:6" x14ac:dyDescent="0.25">
      <c r="A345" s="391" t="s">
        <v>540</v>
      </c>
      <c r="B345" s="392" t="s">
        <v>61</v>
      </c>
      <c r="C345" s="393">
        <v>29.458728000000001</v>
      </c>
      <c r="D345" s="384" t="s">
        <v>129</v>
      </c>
      <c r="E345" s="385">
        <v>2855</v>
      </c>
      <c r="F345" s="386">
        <f t="shared" ref="F345:F348" si="43">+C345*E345</f>
        <v>84104.668440000009</v>
      </c>
    </row>
    <row r="346" spans="1:6" x14ac:dyDescent="0.25">
      <c r="A346" s="391" t="s">
        <v>543</v>
      </c>
      <c r="B346" s="392" t="s">
        <v>62</v>
      </c>
      <c r="C346" s="393">
        <v>29.458728000000001</v>
      </c>
      <c r="D346" s="384" t="s">
        <v>129</v>
      </c>
      <c r="E346" s="385">
        <f>+E345*1.03</f>
        <v>2940.65</v>
      </c>
      <c r="F346" s="386">
        <f t="shared" si="43"/>
        <v>86627.808493200006</v>
      </c>
    </row>
    <row r="347" spans="1:6" x14ac:dyDescent="0.25">
      <c r="A347" s="391" t="s">
        <v>544</v>
      </c>
      <c r="B347" s="392" t="s">
        <v>63</v>
      </c>
      <c r="C347" s="393">
        <v>3.1290080000000002</v>
      </c>
      <c r="D347" s="384" t="s">
        <v>129</v>
      </c>
      <c r="E347" s="385">
        <f>+E345*1.06</f>
        <v>3026.3</v>
      </c>
      <c r="F347" s="386">
        <f t="shared" si="43"/>
        <v>9469.3169104000008</v>
      </c>
    </row>
    <row r="348" spans="1:6" x14ac:dyDescent="0.25">
      <c r="A348" s="391" t="s">
        <v>545</v>
      </c>
      <c r="B348" s="392" t="s">
        <v>116</v>
      </c>
      <c r="C348" s="393">
        <v>3.1290080000000002</v>
      </c>
      <c r="D348" s="384" t="s">
        <v>129</v>
      </c>
      <c r="E348" s="385">
        <f>+E345*1.09</f>
        <v>3111.9500000000003</v>
      </c>
      <c r="F348" s="386">
        <f t="shared" si="43"/>
        <v>9737.3164456000013</v>
      </c>
    </row>
    <row r="349" spans="1:6" x14ac:dyDescent="0.25">
      <c r="A349" s="391"/>
      <c r="B349" s="392"/>
      <c r="C349" s="393"/>
      <c r="D349" s="384"/>
      <c r="E349" s="385"/>
      <c r="F349" s="386"/>
    </row>
    <row r="350" spans="1:6" ht="41.4" x14ac:dyDescent="0.25">
      <c r="A350" s="391" t="s">
        <v>539</v>
      </c>
      <c r="B350" s="392" t="s">
        <v>377</v>
      </c>
      <c r="C350" s="393"/>
      <c r="D350" s="384"/>
      <c r="E350" s="385"/>
      <c r="F350" s="386"/>
    </row>
    <row r="351" spans="1:6" x14ac:dyDescent="0.25">
      <c r="A351" s="391" t="s">
        <v>541</v>
      </c>
      <c r="B351" s="392" t="s">
        <v>61</v>
      </c>
      <c r="C351" s="393">
        <v>17.326827999999999</v>
      </c>
      <c r="D351" s="384" t="s">
        <v>129</v>
      </c>
      <c r="E351" s="385">
        <v>3410</v>
      </c>
      <c r="F351" s="386">
        <f t="shared" ref="F351:F355" si="44">+C351*E351</f>
        <v>59084.483479999995</v>
      </c>
    </row>
    <row r="352" spans="1:6" x14ac:dyDescent="0.25">
      <c r="A352" s="391" t="s">
        <v>542</v>
      </c>
      <c r="B352" s="392" t="s">
        <v>62</v>
      </c>
      <c r="C352" s="393">
        <v>22.020340000000001</v>
      </c>
      <c r="D352" s="384" t="s">
        <v>129</v>
      </c>
      <c r="E352" s="385">
        <f>+E351*1.03</f>
        <v>3512.3</v>
      </c>
      <c r="F352" s="386">
        <f t="shared" si="44"/>
        <v>77342.040182000012</v>
      </c>
    </row>
    <row r="353" spans="1:10" x14ac:dyDescent="0.25">
      <c r="A353" s="391" t="s">
        <v>546</v>
      </c>
      <c r="B353" s="392" t="s">
        <v>63</v>
      </c>
      <c r="C353" s="393">
        <v>25.9316</v>
      </c>
      <c r="D353" s="384" t="s">
        <v>129</v>
      </c>
      <c r="E353" s="385">
        <f>+E351*1.06</f>
        <v>3614.6000000000004</v>
      </c>
      <c r="F353" s="386">
        <f t="shared" si="44"/>
        <v>93732.36136000001</v>
      </c>
    </row>
    <row r="354" spans="1:10" x14ac:dyDescent="0.25">
      <c r="A354" s="391" t="s">
        <v>547</v>
      </c>
      <c r="B354" s="392" t="s">
        <v>116</v>
      </c>
      <c r="C354" s="393">
        <v>14.462515999999999</v>
      </c>
      <c r="D354" s="384" t="s">
        <v>129</v>
      </c>
      <c r="E354" s="385">
        <f>+E351*1.09</f>
        <v>3716.9</v>
      </c>
      <c r="F354" s="386">
        <f t="shared" si="44"/>
        <v>53755.725720399998</v>
      </c>
    </row>
    <row r="355" spans="1:10" x14ac:dyDescent="0.25">
      <c r="A355" s="391" t="s">
        <v>548</v>
      </c>
      <c r="B355" s="392" t="s">
        <v>124</v>
      </c>
      <c r="C355" s="393">
        <v>1.516084</v>
      </c>
      <c r="D355" s="384" t="s">
        <v>129</v>
      </c>
      <c r="E355" s="385">
        <f>+E351*1.12</f>
        <v>3819.2000000000003</v>
      </c>
      <c r="F355" s="386">
        <f t="shared" si="44"/>
        <v>5790.2280128000002</v>
      </c>
    </row>
    <row r="356" spans="1:10" x14ac:dyDescent="0.25">
      <c r="A356" s="391"/>
      <c r="B356" s="392"/>
      <c r="C356" s="393"/>
      <c r="D356" s="384"/>
      <c r="E356" s="385"/>
      <c r="F356" s="386"/>
    </row>
    <row r="357" spans="1:10" x14ac:dyDescent="0.25">
      <c r="A357" s="391"/>
      <c r="B357" s="392"/>
      <c r="C357" s="393"/>
      <c r="D357" s="384"/>
      <c r="E357" s="385"/>
      <c r="F357" s="386"/>
    </row>
    <row r="358" spans="1:10" x14ac:dyDescent="0.25">
      <c r="A358" s="391"/>
      <c r="B358" s="392"/>
      <c r="C358" s="393"/>
      <c r="D358" s="384"/>
      <c r="E358" s="385"/>
      <c r="F358" s="386"/>
    </row>
    <row r="359" spans="1:10" s="387" customFormat="1" x14ac:dyDescent="0.25">
      <c r="A359" s="409"/>
      <c r="B359" s="410" t="s">
        <v>46</v>
      </c>
      <c r="C359" s="411"/>
      <c r="D359" s="412"/>
      <c r="E359" s="413"/>
      <c r="F359" s="414">
        <f>SUM(F330:F357)</f>
        <v>1623167.4371643998</v>
      </c>
      <c r="H359" s="388"/>
    </row>
    <row r="360" spans="1:10" x14ac:dyDescent="0.25">
      <c r="A360" s="391"/>
      <c r="B360" s="392"/>
      <c r="C360" s="393"/>
      <c r="D360" s="384"/>
      <c r="E360" s="385"/>
      <c r="F360" s="386"/>
    </row>
    <row r="361" spans="1:10" ht="15.6" x14ac:dyDescent="0.25">
      <c r="A361" s="391"/>
      <c r="B361" s="401" t="s">
        <v>396</v>
      </c>
      <c r="C361" s="393"/>
      <c r="D361" s="384"/>
      <c r="E361" s="385"/>
      <c r="F361" s="386"/>
    </row>
    <row r="362" spans="1:10" ht="15.6" x14ac:dyDescent="0.25">
      <c r="A362" s="391"/>
      <c r="B362" s="401"/>
      <c r="C362" s="393"/>
      <c r="D362" s="384"/>
      <c r="E362" s="385"/>
      <c r="F362" s="386"/>
    </row>
    <row r="363" spans="1:10" ht="55.2" x14ac:dyDescent="0.25">
      <c r="A363" s="391" t="s">
        <v>549</v>
      </c>
      <c r="B363" s="392" t="s">
        <v>118</v>
      </c>
      <c r="C363" s="393">
        <v>54</v>
      </c>
      <c r="D363" s="384" t="s">
        <v>587</v>
      </c>
      <c r="E363" s="385">
        <v>2400</v>
      </c>
      <c r="F363" s="386">
        <f>C363*E363</f>
        <v>129600</v>
      </c>
    </row>
    <row r="364" spans="1:10" ht="110.4" x14ac:dyDescent="0.25">
      <c r="A364" s="391" t="s">
        <v>550</v>
      </c>
      <c r="B364" s="392" t="s">
        <v>588</v>
      </c>
      <c r="C364" s="393">
        <v>139.44999999999999</v>
      </c>
      <c r="D364" s="384" t="s">
        <v>587</v>
      </c>
      <c r="E364" s="385">
        <v>1450</v>
      </c>
      <c r="F364" s="386">
        <f>C364*E364</f>
        <v>202202.49999999997</v>
      </c>
      <c r="H364" s="395">
        <f>1260*1.15</f>
        <v>1449</v>
      </c>
      <c r="I364" s="394">
        <f>12.96*10.76</f>
        <v>139.4496</v>
      </c>
    </row>
    <row r="365" spans="1:10" ht="96.6" x14ac:dyDescent="0.25">
      <c r="A365" s="391" t="s">
        <v>551</v>
      </c>
      <c r="B365" s="392" t="s">
        <v>589</v>
      </c>
      <c r="C365" s="393">
        <v>737.92</v>
      </c>
      <c r="D365" s="384" t="s">
        <v>587</v>
      </c>
      <c r="E365" s="385">
        <v>1265</v>
      </c>
      <c r="F365" s="386">
        <f t="shared" ref="F365:F368" si="45">C365*E365</f>
        <v>933468.79999999993</v>
      </c>
      <c r="H365" s="395">
        <v>1100</v>
      </c>
      <c r="I365" s="394">
        <f>+H365*1.15</f>
        <v>1265</v>
      </c>
      <c r="J365" s="394">
        <f>68.58*10.76</f>
        <v>737.92079999999999</v>
      </c>
    </row>
    <row r="366" spans="1:10" ht="138" x14ac:dyDescent="0.25">
      <c r="A366" s="391" t="s">
        <v>552</v>
      </c>
      <c r="B366" s="392" t="s">
        <v>590</v>
      </c>
      <c r="C366" s="393">
        <v>151.07</v>
      </c>
      <c r="D366" s="384" t="s">
        <v>587</v>
      </c>
      <c r="E366" s="385">
        <v>1305.25</v>
      </c>
      <c r="F366" s="386">
        <f t="shared" si="45"/>
        <v>197184.11749999999</v>
      </c>
      <c r="H366" s="395">
        <v>1135</v>
      </c>
      <c r="I366" s="394">
        <f>+H366*1.15</f>
        <v>1305.25</v>
      </c>
      <c r="J366" s="394">
        <f>14.04*10.76</f>
        <v>151.07039999999998</v>
      </c>
    </row>
    <row r="367" spans="1:10" ht="41.4" x14ac:dyDescent="0.25">
      <c r="A367" s="391" t="s">
        <v>553</v>
      </c>
      <c r="B367" s="392" t="s">
        <v>591</v>
      </c>
      <c r="C367" s="393">
        <v>34.22</v>
      </c>
      <c r="D367" s="384" t="s">
        <v>587</v>
      </c>
      <c r="E367" s="385">
        <v>1178</v>
      </c>
      <c r="F367" s="386">
        <f t="shared" si="45"/>
        <v>40311.159999999996</v>
      </c>
      <c r="H367" s="395">
        <v>1025</v>
      </c>
      <c r="I367" s="394">
        <f>+H367*1.15</f>
        <v>1178.75</v>
      </c>
      <c r="J367" s="394">
        <f>3.18*10.76</f>
        <v>34.216799999999999</v>
      </c>
    </row>
    <row r="368" spans="1:10" ht="41.4" x14ac:dyDescent="0.25">
      <c r="A368" s="391" t="s">
        <v>554</v>
      </c>
      <c r="B368" s="392" t="s">
        <v>605</v>
      </c>
      <c r="C368" s="393">
        <v>852</v>
      </c>
      <c r="D368" s="384" t="s">
        <v>587</v>
      </c>
      <c r="E368" s="385">
        <v>1452</v>
      </c>
      <c r="F368" s="386">
        <f t="shared" si="45"/>
        <v>1237104</v>
      </c>
      <c r="H368" s="395">
        <f>6*12+13*12*5</f>
        <v>852</v>
      </c>
    </row>
    <row r="369" spans="1:9" x14ac:dyDescent="0.25">
      <c r="A369" s="391"/>
      <c r="B369" s="392"/>
      <c r="C369" s="393"/>
      <c r="D369" s="384"/>
      <c r="E369" s="385"/>
      <c r="F369" s="386"/>
    </row>
    <row r="370" spans="1:9" x14ac:dyDescent="0.25">
      <c r="A370" s="391"/>
      <c r="B370" s="392"/>
      <c r="C370" s="393"/>
      <c r="D370" s="384"/>
      <c r="E370" s="385"/>
      <c r="F370" s="386"/>
    </row>
    <row r="371" spans="1:9" x14ac:dyDescent="0.25">
      <c r="A371" s="391"/>
      <c r="B371" s="392"/>
      <c r="C371" s="393"/>
      <c r="D371" s="384"/>
      <c r="E371" s="385"/>
      <c r="F371" s="386"/>
    </row>
    <row r="372" spans="1:9" ht="15.6" x14ac:dyDescent="0.25">
      <c r="A372" s="391"/>
      <c r="B372" s="401"/>
      <c r="C372" s="393"/>
      <c r="D372" s="384"/>
      <c r="E372" s="385"/>
      <c r="F372" s="386"/>
      <c r="H372" s="395" t="s">
        <v>592</v>
      </c>
    </row>
    <row r="373" spans="1:9" ht="15.6" x14ac:dyDescent="0.25">
      <c r="A373" s="391"/>
      <c r="B373" s="401"/>
      <c r="C373" s="393"/>
      <c r="D373" s="384"/>
      <c r="E373" s="385"/>
      <c r="F373" s="386"/>
    </row>
    <row r="374" spans="1:9" ht="15.6" x14ac:dyDescent="0.25">
      <c r="A374" s="391"/>
      <c r="B374" s="401"/>
      <c r="C374" s="393"/>
      <c r="D374" s="384"/>
      <c r="E374" s="385"/>
      <c r="F374" s="386"/>
    </row>
    <row r="375" spans="1:9" s="387" customFormat="1" x14ac:dyDescent="0.25">
      <c r="A375" s="409"/>
      <c r="B375" s="410" t="s">
        <v>46</v>
      </c>
      <c r="C375" s="411"/>
      <c r="D375" s="412"/>
      <c r="E375" s="413"/>
      <c r="F375" s="414">
        <f>SUM(F363:F374)</f>
        <v>2739870.5774999997</v>
      </c>
      <c r="H375" s="388"/>
    </row>
    <row r="376" spans="1:9" s="387" customFormat="1" ht="28.05" customHeight="1" x14ac:dyDescent="0.25">
      <c r="A376" s="381"/>
      <c r="B376" s="401" t="s">
        <v>241</v>
      </c>
      <c r="C376" s="402"/>
      <c r="D376" s="384"/>
      <c r="E376" s="385"/>
      <c r="F376" s="386"/>
      <c r="H376" s="388"/>
    </row>
    <row r="377" spans="1:9" x14ac:dyDescent="0.25">
      <c r="A377" s="391"/>
      <c r="B377" s="392"/>
      <c r="C377" s="393"/>
      <c r="D377" s="384"/>
      <c r="E377" s="385"/>
      <c r="F377" s="386"/>
    </row>
    <row r="378" spans="1:9" ht="27.6" x14ac:dyDescent="0.25">
      <c r="A378" s="391" t="s">
        <v>242</v>
      </c>
      <c r="B378" s="392" t="s">
        <v>122</v>
      </c>
      <c r="C378" s="393">
        <v>14.3</v>
      </c>
      <c r="D378" s="384" t="s">
        <v>129</v>
      </c>
      <c r="E378" s="385">
        <v>4845</v>
      </c>
      <c r="F378" s="386">
        <f t="shared" ref="F378:F383" si="46">C378*E378</f>
        <v>69283.5</v>
      </c>
      <c r="H378" s="395">
        <f>+C378*10.76/100</f>
        <v>1.53868</v>
      </c>
      <c r="I378" s="394">
        <v>14.3</v>
      </c>
    </row>
    <row r="379" spans="1:9" ht="41.4" x14ac:dyDescent="0.25">
      <c r="A379" s="391" t="s">
        <v>243</v>
      </c>
      <c r="B379" s="392" t="s">
        <v>123</v>
      </c>
      <c r="C379" s="393">
        <v>2.14</v>
      </c>
      <c r="D379" s="384" t="s">
        <v>129</v>
      </c>
      <c r="E379" s="385">
        <v>14525</v>
      </c>
      <c r="F379" s="386">
        <f t="shared" si="46"/>
        <v>31083.5</v>
      </c>
      <c r="H379" s="395">
        <f>+C379*10.76/100</f>
        <v>0.23026400000000002</v>
      </c>
      <c r="I379" s="394">
        <v>2.14</v>
      </c>
    </row>
    <row r="380" spans="1:9" ht="151.80000000000001" x14ac:dyDescent="0.25">
      <c r="A380" s="391" t="s">
        <v>244</v>
      </c>
      <c r="B380" s="392" t="s">
        <v>379</v>
      </c>
      <c r="C380" s="393">
        <v>44</v>
      </c>
      <c r="D380" s="384" t="s">
        <v>373</v>
      </c>
      <c r="E380" s="385">
        <v>710</v>
      </c>
      <c r="F380" s="386">
        <f t="shared" si="46"/>
        <v>31240</v>
      </c>
      <c r="H380" s="395">
        <f>+C380*3.28</f>
        <v>144.32</v>
      </c>
      <c r="I380" s="394">
        <v>44</v>
      </c>
    </row>
    <row r="381" spans="1:9" ht="82.8" x14ac:dyDescent="0.25">
      <c r="A381" s="391" t="s">
        <v>245</v>
      </c>
      <c r="B381" s="392" t="s">
        <v>380</v>
      </c>
      <c r="C381" s="393">
        <v>243</v>
      </c>
      <c r="D381" s="384" t="s">
        <v>373</v>
      </c>
      <c r="E381" s="385">
        <v>529</v>
      </c>
      <c r="F381" s="386">
        <f t="shared" si="46"/>
        <v>128547</v>
      </c>
      <c r="H381" s="395">
        <f t="shared" ref="H381:H382" si="47">+C381*3.28</f>
        <v>797.04</v>
      </c>
      <c r="I381" s="394">
        <v>243</v>
      </c>
    </row>
    <row r="382" spans="1:9" x14ac:dyDescent="0.25">
      <c r="A382" s="391" t="s">
        <v>246</v>
      </c>
      <c r="B382" s="392" t="s">
        <v>107</v>
      </c>
      <c r="C382" s="393">
        <v>44</v>
      </c>
      <c r="D382" s="384" t="s">
        <v>373</v>
      </c>
      <c r="E382" s="385">
        <v>1075</v>
      </c>
      <c r="F382" s="386">
        <f t="shared" si="46"/>
        <v>47300</v>
      </c>
      <c r="H382" s="395">
        <f t="shared" si="47"/>
        <v>144.32</v>
      </c>
      <c r="I382" s="394">
        <v>44</v>
      </c>
    </row>
    <row r="383" spans="1:9" ht="41.4" x14ac:dyDescent="0.25">
      <c r="A383" s="391" t="s">
        <v>247</v>
      </c>
      <c r="B383" s="392" t="s">
        <v>378</v>
      </c>
      <c r="C383" s="393">
        <v>66</v>
      </c>
      <c r="D383" s="384" t="s">
        <v>373</v>
      </c>
      <c r="E383" s="385">
        <v>488</v>
      </c>
      <c r="F383" s="386">
        <f t="shared" si="46"/>
        <v>32208</v>
      </c>
    </row>
    <row r="384" spans="1:9" x14ac:dyDescent="0.25">
      <c r="A384" s="391"/>
      <c r="B384" s="392"/>
      <c r="C384" s="393"/>
      <c r="D384" s="384"/>
      <c r="E384" s="385"/>
      <c r="F384" s="386"/>
    </row>
    <row r="385" spans="1:8" x14ac:dyDescent="0.25">
      <c r="A385" s="391"/>
      <c r="B385" s="392"/>
      <c r="C385" s="393"/>
      <c r="D385" s="384"/>
      <c r="E385" s="385"/>
      <c r="F385" s="386"/>
    </row>
    <row r="386" spans="1:8" s="387" customFormat="1" x14ac:dyDescent="0.25">
      <c r="A386" s="409"/>
      <c r="B386" s="410" t="s">
        <v>46</v>
      </c>
      <c r="C386" s="411"/>
      <c r="D386" s="412"/>
      <c r="E386" s="413"/>
      <c r="F386" s="414">
        <f>SUM(F378:F385)</f>
        <v>339662</v>
      </c>
      <c r="H386" s="388"/>
    </row>
    <row r="387" spans="1:8" s="387" customFormat="1" ht="28.05" customHeight="1" x14ac:dyDescent="0.25">
      <c r="A387" s="381"/>
      <c r="B387" s="401" t="s">
        <v>248</v>
      </c>
      <c r="C387" s="402"/>
      <c r="D387" s="384"/>
      <c r="E387" s="385"/>
      <c r="F387" s="386"/>
      <c r="H387" s="388"/>
    </row>
    <row r="388" spans="1:8" ht="112.05" customHeight="1" x14ac:dyDescent="0.25">
      <c r="A388" s="391" t="s">
        <v>249</v>
      </c>
      <c r="B388" s="392" t="s">
        <v>382</v>
      </c>
      <c r="C388" s="393">
        <v>2</v>
      </c>
      <c r="D388" s="384" t="s">
        <v>168</v>
      </c>
      <c r="E388" s="385">
        <v>16550</v>
      </c>
      <c r="F388" s="386">
        <f>+C388*E388</f>
        <v>33100</v>
      </c>
      <c r="H388" s="395">
        <f>C388++C390</f>
        <v>3</v>
      </c>
    </row>
    <row r="389" spans="1:8" ht="128.1" customHeight="1" x14ac:dyDescent="0.25">
      <c r="A389" s="391" t="s">
        <v>250</v>
      </c>
      <c r="B389" s="392" t="s">
        <v>383</v>
      </c>
      <c r="C389" s="393">
        <v>4</v>
      </c>
      <c r="D389" s="384" t="s">
        <v>168</v>
      </c>
      <c r="E389" s="385">
        <v>24840</v>
      </c>
      <c r="F389" s="386">
        <f t="shared" ref="F389:F409" si="48">+C389*E389</f>
        <v>99360</v>
      </c>
    </row>
    <row r="390" spans="1:8" ht="50.25" customHeight="1" x14ac:dyDescent="0.25">
      <c r="A390" s="391" t="s">
        <v>251</v>
      </c>
      <c r="B390" s="392" t="s">
        <v>394</v>
      </c>
      <c r="C390" s="393">
        <v>1</v>
      </c>
      <c r="D390" s="384" t="s">
        <v>168</v>
      </c>
      <c r="E390" s="385">
        <v>16940</v>
      </c>
      <c r="F390" s="386">
        <f t="shared" si="48"/>
        <v>16940</v>
      </c>
    </row>
    <row r="391" spans="1:8" ht="82.8" x14ac:dyDescent="0.25">
      <c r="A391" s="391" t="s">
        <v>252</v>
      </c>
      <c r="B391" s="392" t="s">
        <v>395</v>
      </c>
      <c r="C391" s="393">
        <v>1</v>
      </c>
      <c r="D391" s="384" t="s">
        <v>168</v>
      </c>
      <c r="E391" s="385">
        <v>10760</v>
      </c>
      <c r="F391" s="386">
        <f t="shared" si="48"/>
        <v>10760</v>
      </c>
    </row>
    <row r="392" spans="1:8" ht="69" x14ac:dyDescent="0.25">
      <c r="A392" s="391" t="s">
        <v>253</v>
      </c>
      <c r="B392" s="392" t="s">
        <v>381</v>
      </c>
      <c r="C392" s="393">
        <v>5</v>
      </c>
      <c r="D392" s="384" t="s">
        <v>168</v>
      </c>
      <c r="E392" s="385">
        <v>9140</v>
      </c>
      <c r="F392" s="386">
        <f t="shared" si="48"/>
        <v>45700</v>
      </c>
    </row>
    <row r="393" spans="1:8" ht="41.4" x14ac:dyDescent="0.25">
      <c r="A393" s="391" t="s">
        <v>254</v>
      </c>
      <c r="B393" s="392" t="s">
        <v>384</v>
      </c>
      <c r="C393" s="393">
        <v>3</v>
      </c>
      <c r="D393" s="384" t="s">
        <v>168</v>
      </c>
      <c r="E393" s="385">
        <v>33880</v>
      </c>
      <c r="F393" s="386">
        <f t="shared" si="48"/>
        <v>101640</v>
      </c>
      <c r="H393" s="395">
        <f>C393+C392+C391+C390+C389+C388</f>
        <v>16</v>
      </c>
    </row>
    <row r="394" spans="1:8" ht="41.4" x14ac:dyDescent="0.25">
      <c r="A394" s="391" t="s">
        <v>255</v>
      </c>
      <c r="B394" s="392" t="s">
        <v>385</v>
      </c>
      <c r="C394" s="393">
        <v>16</v>
      </c>
      <c r="D394" s="384" t="s">
        <v>168</v>
      </c>
      <c r="E394" s="385">
        <v>2385</v>
      </c>
      <c r="F394" s="386">
        <f t="shared" si="48"/>
        <v>38160</v>
      </c>
    </row>
    <row r="395" spans="1:8" ht="41.4" x14ac:dyDescent="0.25">
      <c r="A395" s="391" t="s">
        <v>256</v>
      </c>
      <c r="B395" s="392" t="s">
        <v>386</v>
      </c>
      <c r="C395" s="393">
        <v>4</v>
      </c>
      <c r="D395" s="384" t="s">
        <v>168</v>
      </c>
      <c r="E395" s="385">
        <v>2830</v>
      </c>
      <c r="F395" s="386">
        <f t="shared" si="48"/>
        <v>11320</v>
      </c>
    </row>
    <row r="396" spans="1:8" ht="55.05" customHeight="1" x14ac:dyDescent="0.25">
      <c r="A396" s="391" t="s">
        <v>257</v>
      </c>
      <c r="B396" s="392" t="s">
        <v>387</v>
      </c>
      <c r="C396" s="393">
        <v>5</v>
      </c>
      <c r="D396" s="384" t="s">
        <v>168</v>
      </c>
      <c r="E396" s="385">
        <v>4370</v>
      </c>
      <c r="F396" s="386">
        <f t="shared" si="48"/>
        <v>21850</v>
      </c>
    </row>
    <row r="397" spans="1:8" ht="41.4" x14ac:dyDescent="0.25">
      <c r="A397" s="391" t="s">
        <v>258</v>
      </c>
      <c r="B397" s="392" t="s">
        <v>388</v>
      </c>
      <c r="C397" s="393">
        <v>5</v>
      </c>
      <c r="D397" s="384" t="s">
        <v>168</v>
      </c>
      <c r="E397" s="385">
        <v>3640</v>
      </c>
      <c r="F397" s="386">
        <f t="shared" si="48"/>
        <v>18200</v>
      </c>
    </row>
    <row r="398" spans="1:8" ht="41.4" x14ac:dyDescent="0.25">
      <c r="A398" s="391" t="s">
        <v>259</v>
      </c>
      <c r="B398" s="392" t="s">
        <v>389</v>
      </c>
      <c r="C398" s="393">
        <v>5</v>
      </c>
      <c r="D398" s="384" t="s">
        <v>168</v>
      </c>
      <c r="E398" s="385">
        <v>4215</v>
      </c>
      <c r="F398" s="386">
        <f t="shared" si="48"/>
        <v>21075</v>
      </c>
    </row>
    <row r="399" spans="1:8" ht="41.4" x14ac:dyDescent="0.25">
      <c r="A399" s="391" t="s">
        <v>260</v>
      </c>
      <c r="B399" s="392" t="s">
        <v>390</v>
      </c>
      <c r="C399" s="393">
        <v>5</v>
      </c>
      <c r="D399" s="384" t="s">
        <v>168</v>
      </c>
      <c r="E399" s="385">
        <v>732</v>
      </c>
      <c r="F399" s="386">
        <f t="shared" si="48"/>
        <v>3660</v>
      </c>
    </row>
    <row r="400" spans="1:8" s="387" customFormat="1" ht="25.05" customHeight="1" x14ac:dyDescent="0.25">
      <c r="A400" s="381"/>
      <c r="B400" s="389" t="s">
        <v>277</v>
      </c>
      <c r="C400" s="390"/>
      <c r="D400" s="384"/>
      <c r="E400" s="385"/>
      <c r="F400" s="386"/>
      <c r="H400" s="388"/>
    </row>
    <row r="401" spans="1:9" s="387" customFormat="1" x14ac:dyDescent="0.25">
      <c r="A401" s="391" t="s">
        <v>261</v>
      </c>
      <c r="B401" s="398" t="s">
        <v>391</v>
      </c>
      <c r="C401" s="393">
        <v>2</v>
      </c>
      <c r="D401" s="384" t="s">
        <v>168</v>
      </c>
      <c r="E401" s="385">
        <v>1105</v>
      </c>
      <c r="F401" s="386">
        <f t="shared" si="48"/>
        <v>2210</v>
      </c>
      <c r="H401" s="388"/>
    </row>
    <row r="402" spans="1:9" s="387" customFormat="1" x14ac:dyDescent="0.25">
      <c r="A402" s="391"/>
      <c r="B402" s="398"/>
      <c r="C402" s="393"/>
      <c r="D402" s="384"/>
      <c r="E402" s="385"/>
      <c r="F402" s="386"/>
      <c r="H402" s="388"/>
    </row>
    <row r="403" spans="1:9" s="387" customFormat="1" x14ac:dyDescent="0.25">
      <c r="A403" s="391"/>
      <c r="B403" s="398"/>
      <c r="C403" s="393"/>
      <c r="D403" s="384"/>
      <c r="E403" s="385"/>
      <c r="F403" s="386"/>
      <c r="H403" s="388"/>
    </row>
    <row r="404" spans="1:9" s="387" customFormat="1" x14ac:dyDescent="0.25">
      <c r="A404" s="391"/>
      <c r="B404" s="398"/>
      <c r="C404" s="393"/>
      <c r="D404" s="384"/>
      <c r="E404" s="385"/>
      <c r="F404" s="386"/>
      <c r="H404" s="388"/>
    </row>
    <row r="405" spans="1:9" s="387" customFormat="1" x14ac:dyDescent="0.25">
      <c r="A405" s="409"/>
      <c r="B405" s="410" t="s">
        <v>46</v>
      </c>
      <c r="C405" s="411"/>
      <c r="D405" s="412"/>
      <c r="E405" s="413"/>
      <c r="F405" s="414">
        <f>SUM(F388:F403)</f>
        <v>423975</v>
      </c>
      <c r="H405" s="388"/>
    </row>
    <row r="406" spans="1:9" s="387" customFormat="1" x14ac:dyDescent="0.25">
      <c r="A406" s="391"/>
      <c r="B406" s="389" t="s">
        <v>262</v>
      </c>
      <c r="C406" s="393"/>
      <c r="D406" s="384"/>
      <c r="E406" s="385"/>
      <c r="F406" s="386"/>
      <c r="H406" s="388"/>
    </row>
    <row r="407" spans="1:9" s="387" customFormat="1" x14ac:dyDescent="0.25">
      <c r="A407" s="391"/>
      <c r="B407" s="398"/>
      <c r="C407" s="393"/>
      <c r="D407" s="384"/>
      <c r="E407" s="385"/>
      <c r="F407" s="386"/>
      <c r="H407" s="388"/>
    </row>
    <row r="408" spans="1:9" s="387" customFormat="1" ht="25.05" customHeight="1" x14ac:dyDescent="0.25">
      <c r="A408" s="381"/>
      <c r="B408" s="389" t="s">
        <v>278</v>
      </c>
      <c r="C408" s="390"/>
      <c r="D408" s="384"/>
      <c r="E408" s="385"/>
      <c r="F408" s="386"/>
      <c r="H408" s="388"/>
    </row>
    <row r="409" spans="1:9" ht="41.4" x14ac:dyDescent="0.25">
      <c r="A409" s="391" t="s">
        <v>263</v>
      </c>
      <c r="B409" s="392" t="s">
        <v>280</v>
      </c>
      <c r="C409" s="393">
        <v>2</v>
      </c>
      <c r="D409" s="384" t="s">
        <v>168</v>
      </c>
      <c r="E409" s="385">
        <v>72470</v>
      </c>
      <c r="F409" s="386">
        <f t="shared" si="48"/>
        <v>144940</v>
      </c>
    </row>
    <row r="410" spans="1:9" ht="38.1" hidden="1" customHeight="1" x14ac:dyDescent="0.25">
      <c r="A410" s="391" t="s">
        <v>279</v>
      </c>
      <c r="B410" s="392" t="s">
        <v>281</v>
      </c>
      <c r="C410" s="393"/>
      <c r="D410" s="384" t="s">
        <v>282</v>
      </c>
      <c r="E410" s="385"/>
      <c r="F410" s="386"/>
    </row>
    <row r="411" spans="1:9" s="387" customFormat="1" ht="28.05" customHeight="1" x14ac:dyDescent="0.25">
      <c r="A411" s="381"/>
      <c r="B411" s="389" t="s">
        <v>283</v>
      </c>
      <c r="C411" s="390"/>
      <c r="D411" s="384"/>
      <c r="E411" s="385"/>
      <c r="F411" s="386"/>
      <c r="H411" s="388"/>
    </row>
    <row r="412" spans="1:9" s="387" customFormat="1" ht="28.05" customHeight="1" x14ac:dyDescent="0.25">
      <c r="A412" s="381"/>
      <c r="B412" s="396" t="s">
        <v>284</v>
      </c>
      <c r="C412" s="397"/>
      <c r="D412" s="384"/>
      <c r="E412" s="385"/>
      <c r="F412" s="386"/>
      <c r="H412" s="388"/>
    </row>
    <row r="413" spans="1:9" s="387" customFormat="1" ht="28.05" customHeight="1" x14ac:dyDescent="0.25">
      <c r="A413" s="381"/>
      <c r="B413" s="389" t="s">
        <v>285</v>
      </c>
      <c r="C413" s="390"/>
      <c r="D413" s="384"/>
      <c r="E413" s="385"/>
      <c r="F413" s="386"/>
      <c r="H413" s="388"/>
    </row>
    <row r="414" spans="1:9" ht="38.1" customHeight="1" x14ac:dyDescent="0.25">
      <c r="A414" s="391" t="s">
        <v>264</v>
      </c>
      <c r="B414" s="392" t="s">
        <v>606</v>
      </c>
      <c r="C414" s="393">
        <v>79</v>
      </c>
      <c r="D414" s="384" t="s">
        <v>167</v>
      </c>
      <c r="E414" s="385">
        <v>68</v>
      </c>
      <c r="F414" s="386">
        <f>+C414*E414</f>
        <v>5372</v>
      </c>
    </row>
    <row r="415" spans="1:9" ht="38.1" customHeight="1" x14ac:dyDescent="0.25">
      <c r="A415" s="391" t="s">
        <v>265</v>
      </c>
      <c r="B415" s="392" t="s">
        <v>607</v>
      </c>
      <c r="C415" s="393">
        <v>33</v>
      </c>
      <c r="D415" s="384" t="s">
        <v>167</v>
      </c>
      <c r="E415" s="385">
        <v>103</v>
      </c>
      <c r="F415" s="386">
        <f t="shared" ref="F415:F430" si="49">+C415*E415</f>
        <v>3399</v>
      </c>
      <c r="I415" s="394">
        <v>78.72</v>
      </c>
    </row>
    <row r="416" spans="1:9" ht="38.1" customHeight="1" x14ac:dyDescent="0.25">
      <c r="A416" s="391" t="s">
        <v>266</v>
      </c>
      <c r="B416" s="392" t="s">
        <v>608</v>
      </c>
      <c r="C416" s="393">
        <v>171</v>
      </c>
      <c r="D416" s="384" t="s">
        <v>167</v>
      </c>
      <c r="E416" s="385">
        <v>121</v>
      </c>
      <c r="F416" s="386">
        <f t="shared" si="49"/>
        <v>20691</v>
      </c>
      <c r="I416" s="394">
        <v>32.799999999999997</v>
      </c>
    </row>
    <row r="417" spans="1:9" ht="38.1" customHeight="1" x14ac:dyDescent="0.25">
      <c r="A417" s="391" t="s">
        <v>267</v>
      </c>
      <c r="B417" s="392" t="s">
        <v>609</v>
      </c>
      <c r="C417" s="393">
        <v>108</v>
      </c>
      <c r="D417" s="384" t="s">
        <v>167</v>
      </c>
      <c r="E417" s="385">
        <v>147</v>
      </c>
      <c r="F417" s="386">
        <f t="shared" si="49"/>
        <v>15876</v>
      </c>
      <c r="I417" s="394">
        <v>170.56</v>
      </c>
    </row>
    <row r="418" spans="1:9" ht="38.1" customHeight="1" x14ac:dyDescent="0.25">
      <c r="A418" s="391" t="s">
        <v>268</v>
      </c>
      <c r="B418" s="392" t="s">
        <v>610</v>
      </c>
      <c r="C418" s="393">
        <v>184</v>
      </c>
      <c r="D418" s="384" t="s">
        <v>167</v>
      </c>
      <c r="E418" s="385">
        <v>303</v>
      </c>
      <c r="F418" s="386">
        <f t="shared" si="49"/>
        <v>55752</v>
      </c>
      <c r="I418" s="394">
        <v>183.67999999999998</v>
      </c>
    </row>
    <row r="419" spans="1:9" s="387" customFormat="1" ht="28.05" customHeight="1" x14ac:dyDescent="0.25">
      <c r="A419" s="381"/>
      <c r="B419" s="389" t="s">
        <v>286</v>
      </c>
      <c r="C419" s="390"/>
      <c r="D419" s="384"/>
      <c r="E419" s="385"/>
      <c r="F419" s="386"/>
      <c r="H419" s="388"/>
    </row>
    <row r="420" spans="1:9" s="387" customFormat="1" x14ac:dyDescent="0.25">
      <c r="A420" s="391" t="s">
        <v>269</v>
      </c>
      <c r="B420" s="398" t="s">
        <v>287</v>
      </c>
      <c r="C420" s="399">
        <v>33</v>
      </c>
      <c r="D420" s="384" t="s">
        <v>167</v>
      </c>
      <c r="E420" s="385">
        <v>153</v>
      </c>
      <c r="F420" s="386">
        <f t="shared" si="49"/>
        <v>5049</v>
      </c>
      <c r="H420" s="388">
        <v>10</v>
      </c>
      <c r="I420" s="387">
        <f>+H420*3.28</f>
        <v>32.799999999999997</v>
      </c>
    </row>
    <row r="421" spans="1:9" s="387" customFormat="1" x14ac:dyDescent="0.25">
      <c r="A421" s="391" t="s">
        <v>270</v>
      </c>
      <c r="B421" s="398" t="s">
        <v>288</v>
      </c>
      <c r="C421" s="399">
        <v>171</v>
      </c>
      <c r="D421" s="384" t="s">
        <v>167</v>
      </c>
      <c r="E421" s="385">
        <v>175</v>
      </c>
      <c r="F421" s="386">
        <f t="shared" si="49"/>
        <v>29925</v>
      </c>
      <c r="H421" s="388">
        <v>52</v>
      </c>
      <c r="I421" s="387">
        <f t="shared" ref="I421:I422" si="50">+H421*3.28</f>
        <v>170.56</v>
      </c>
    </row>
    <row r="422" spans="1:9" s="387" customFormat="1" x14ac:dyDescent="0.25">
      <c r="A422" s="391" t="s">
        <v>271</v>
      </c>
      <c r="B422" s="398" t="s">
        <v>289</v>
      </c>
      <c r="C422" s="399">
        <v>79</v>
      </c>
      <c r="D422" s="384" t="s">
        <v>167</v>
      </c>
      <c r="E422" s="385">
        <v>251</v>
      </c>
      <c r="F422" s="386">
        <f t="shared" si="49"/>
        <v>19829</v>
      </c>
      <c r="H422" s="388">
        <v>24</v>
      </c>
      <c r="I422" s="387">
        <f t="shared" si="50"/>
        <v>78.72</v>
      </c>
    </row>
    <row r="423" spans="1:9" s="387" customFormat="1" ht="28.05" customHeight="1" x14ac:dyDescent="0.25">
      <c r="A423" s="381"/>
      <c r="B423" s="389" t="s">
        <v>290</v>
      </c>
      <c r="C423" s="390"/>
      <c r="D423" s="384"/>
      <c r="E423" s="385"/>
      <c r="F423" s="386"/>
      <c r="H423" s="388"/>
    </row>
    <row r="424" spans="1:9" ht="55.05" customHeight="1" x14ac:dyDescent="0.25">
      <c r="A424" s="391" t="s">
        <v>272</v>
      </c>
      <c r="B424" s="392" t="s">
        <v>291</v>
      </c>
      <c r="C424" s="393">
        <v>131</v>
      </c>
      <c r="D424" s="384" t="s">
        <v>167</v>
      </c>
      <c r="E424" s="385">
        <v>1190</v>
      </c>
      <c r="F424" s="386">
        <f t="shared" si="49"/>
        <v>155890</v>
      </c>
      <c r="H424" s="395">
        <f>40*3.28</f>
        <v>131.19999999999999</v>
      </c>
    </row>
    <row r="425" spans="1:9" ht="38.1" customHeight="1" x14ac:dyDescent="0.25">
      <c r="A425" s="391" t="s">
        <v>273</v>
      </c>
      <c r="B425" s="392" t="s">
        <v>292</v>
      </c>
      <c r="C425" s="393">
        <v>82</v>
      </c>
      <c r="D425" s="384" t="s">
        <v>167</v>
      </c>
      <c r="E425" s="385">
        <v>699</v>
      </c>
      <c r="F425" s="386">
        <f t="shared" si="49"/>
        <v>57318</v>
      </c>
      <c r="H425" s="395">
        <f>25*3.28</f>
        <v>82</v>
      </c>
    </row>
    <row r="426" spans="1:9" s="387" customFormat="1" ht="28.05" customHeight="1" x14ac:dyDescent="0.25">
      <c r="A426" s="381"/>
      <c r="B426" s="389" t="s">
        <v>293</v>
      </c>
      <c r="C426" s="390"/>
      <c r="D426" s="384"/>
      <c r="E426" s="385"/>
      <c r="F426" s="386"/>
      <c r="H426" s="388"/>
    </row>
    <row r="427" spans="1:9" ht="160.05000000000001" customHeight="1" x14ac:dyDescent="0.25">
      <c r="A427" s="391" t="s">
        <v>274</v>
      </c>
      <c r="B427" s="392" t="s">
        <v>392</v>
      </c>
      <c r="C427" s="393">
        <v>1</v>
      </c>
      <c r="D427" s="384" t="s">
        <v>168</v>
      </c>
      <c r="E427" s="385">
        <v>24260</v>
      </c>
      <c r="F427" s="386">
        <f t="shared" si="49"/>
        <v>24260</v>
      </c>
    </row>
    <row r="428" spans="1:9" s="387" customFormat="1" ht="28.05" customHeight="1" x14ac:dyDescent="0.25">
      <c r="A428" s="381"/>
      <c r="B428" s="389" t="s">
        <v>154</v>
      </c>
      <c r="C428" s="390"/>
      <c r="D428" s="384"/>
      <c r="E428" s="385"/>
      <c r="F428" s="386"/>
      <c r="H428" s="388"/>
    </row>
    <row r="429" spans="1:9" s="387" customFormat="1" x14ac:dyDescent="0.25">
      <c r="A429" s="391" t="s">
        <v>275</v>
      </c>
      <c r="B429" s="398" t="s">
        <v>294</v>
      </c>
      <c r="C429" s="399">
        <v>1</v>
      </c>
      <c r="D429" s="384" t="s">
        <v>13</v>
      </c>
      <c r="E429" s="385">
        <v>1000</v>
      </c>
      <c r="F429" s="386">
        <f t="shared" si="49"/>
        <v>1000</v>
      </c>
      <c r="H429" s="388"/>
    </row>
    <row r="430" spans="1:9" s="387" customFormat="1" x14ac:dyDescent="0.25">
      <c r="A430" s="391" t="s">
        <v>276</v>
      </c>
      <c r="B430" s="398" t="s">
        <v>295</v>
      </c>
      <c r="C430" s="399">
        <v>1</v>
      </c>
      <c r="D430" s="384" t="s">
        <v>13</v>
      </c>
      <c r="E430" s="385">
        <v>4000</v>
      </c>
      <c r="F430" s="386">
        <f t="shared" si="49"/>
        <v>4000</v>
      </c>
      <c r="H430" s="388"/>
    </row>
    <row r="431" spans="1:9" s="387" customFormat="1" x14ac:dyDescent="0.25">
      <c r="A431" s="391"/>
      <c r="B431" s="398"/>
      <c r="C431" s="399"/>
      <c r="D431" s="384"/>
      <c r="E431" s="385"/>
      <c r="F431" s="386"/>
      <c r="H431" s="388"/>
    </row>
    <row r="432" spans="1:9" s="387" customFormat="1" x14ac:dyDescent="0.25">
      <c r="A432" s="391"/>
      <c r="B432" s="398"/>
      <c r="C432" s="399"/>
      <c r="D432" s="384"/>
      <c r="E432" s="385"/>
      <c r="F432" s="386"/>
      <c r="H432" s="388"/>
    </row>
    <row r="433" spans="1:8" s="387" customFormat="1" x14ac:dyDescent="0.25">
      <c r="A433" s="391"/>
      <c r="B433" s="398"/>
      <c r="C433" s="399"/>
      <c r="D433" s="384"/>
      <c r="E433" s="385"/>
      <c r="F433" s="386"/>
      <c r="H433" s="388"/>
    </row>
    <row r="434" spans="1:8" s="387" customFormat="1" x14ac:dyDescent="0.25">
      <c r="A434" s="391"/>
      <c r="B434" s="398"/>
      <c r="C434" s="399"/>
      <c r="D434" s="384"/>
      <c r="E434" s="385"/>
      <c r="F434" s="386"/>
      <c r="H434" s="388"/>
    </row>
    <row r="435" spans="1:8" s="387" customFormat="1" x14ac:dyDescent="0.25">
      <c r="A435" s="409"/>
      <c r="B435" s="410" t="s">
        <v>46</v>
      </c>
      <c r="C435" s="411"/>
      <c r="D435" s="412"/>
      <c r="E435" s="413"/>
      <c r="F435" s="414">
        <f>SUM(F414:F433)</f>
        <v>398361</v>
      </c>
      <c r="H435" s="388"/>
    </row>
    <row r="436" spans="1:8" s="387" customFormat="1" ht="28.05" customHeight="1" x14ac:dyDescent="0.25">
      <c r="A436" s="381"/>
      <c r="B436" s="401" t="s">
        <v>296</v>
      </c>
      <c r="C436" s="402"/>
      <c r="D436" s="384"/>
      <c r="E436" s="385"/>
      <c r="F436" s="386"/>
      <c r="H436" s="388"/>
    </row>
    <row r="437" spans="1:8" s="387" customFormat="1" ht="28.05" customHeight="1" x14ac:dyDescent="0.25">
      <c r="A437" s="381"/>
      <c r="B437" s="401" t="s">
        <v>297</v>
      </c>
      <c r="C437" s="402"/>
      <c r="D437" s="384"/>
      <c r="E437" s="385"/>
      <c r="F437" s="386"/>
      <c r="H437" s="388"/>
    </row>
    <row r="438" spans="1:8" ht="152.25" customHeight="1" x14ac:dyDescent="0.25">
      <c r="A438" s="391" t="s">
        <v>298</v>
      </c>
      <c r="B438" s="392" t="s">
        <v>300</v>
      </c>
      <c r="C438" s="393">
        <v>3</v>
      </c>
      <c r="D438" s="384" t="s">
        <v>168</v>
      </c>
      <c r="E438" s="385">
        <v>4965</v>
      </c>
      <c r="F438" s="386">
        <f t="shared" ref="F438:F448" si="51">+C438*E438</f>
        <v>14895</v>
      </c>
    </row>
    <row r="439" spans="1:8" s="387" customFormat="1" ht="28.5" customHeight="1" x14ac:dyDescent="0.25">
      <c r="A439" s="381"/>
      <c r="B439" s="401" t="s">
        <v>305</v>
      </c>
      <c r="C439" s="402"/>
      <c r="D439" s="384"/>
      <c r="E439" s="385"/>
      <c r="F439" s="386"/>
      <c r="H439" s="388"/>
    </row>
    <row r="440" spans="1:8" ht="156.75" customHeight="1" x14ac:dyDescent="0.25">
      <c r="A440" s="391" t="s">
        <v>299</v>
      </c>
      <c r="B440" s="392" t="s">
        <v>306</v>
      </c>
      <c r="C440" s="393">
        <v>5</v>
      </c>
      <c r="D440" s="384" t="s">
        <v>168</v>
      </c>
      <c r="E440" s="385">
        <v>20560</v>
      </c>
      <c r="F440" s="386">
        <f t="shared" si="51"/>
        <v>102800</v>
      </c>
    </row>
    <row r="441" spans="1:8" s="387" customFormat="1" ht="28.05" customHeight="1" x14ac:dyDescent="0.25">
      <c r="A441" s="381"/>
      <c r="B441" s="401" t="s">
        <v>307</v>
      </c>
      <c r="C441" s="402"/>
      <c r="D441" s="384"/>
      <c r="E441" s="385"/>
      <c r="F441" s="386"/>
      <c r="H441" s="388"/>
    </row>
    <row r="442" spans="1:8" ht="68.099999999999994" customHeight="1" x14ac:dyDescent="0.25">
      <c r="A442" s="391" t="s">
        <v>301</v>
      </c>
      <c r="B442" s="392" t="s">
        <v>308</v>
      </c>
      <c r="C442" s="393">
        <v>12</v>
      </c>
      <c r="D442" s="384" t="s">
        <v>141</v>
      </c>
      <c r="E442" s="385">
        <v>779</v>
      </c>
      <c r="F442" s="386">
        <f t="shared" si="51"/>
        <v>9348</v>
      </c>
    </row>
    <row r="443" spans="1:8" s="387" customFormat="1" ht="28.05" customHeight="1" x14ac:dyDescent="0.25">
      <c r="A443" s="381"/>
      <c r="B443" s="401" t="s">
        <v>309</v>
      </c>
      <c r="C443" s="402"/>
      <c r="D443" s="384"/>
      <c r="E443" s="385"/>
      <c r="F443" s="386"/>
      <c r="H443" s="388"/>
    </row>
    <row r="444" spans="1:8" ht="38.1" customHeight="1" x14ac:dyDescent="0.25">
      <c r="A444" s="391" t="s">
        <v>302</v>
      </c>
      <c r="B444" s="392" t="s">
        <v>310</v>
      </c>
      <c r="C444" s="393">
        <v>8</v>
      </c>
      <c r="D444" s="384" t="s">
        <v>168</v>
      </c>
      <c r="E444" s="385">
        <v>1730</v>
      </c>
      <c r="F444" s="386">
        <f t="shared" si="51"/>
        <v>13840</v>
      </c>
    </row>
    <row r="445" spans="1:8" s="387" customFormat="1" ht="28.05" customHeight="1" x14ac:dyDescent="0.25">
      <c r="A445" s="381"/>
      <c r="B445" s="401" t="s">
        <v>311</v>
      </c>
      <c r="C445" s="402"/>
      <c r="D445" s="384"/>
      <c r="E445" s="385"/>
      <c r="F445" s="386"/>
      <c r="H445" s="388"/>
    </row>
    <row r="446" spans="1:8" ht="38.1" customHeight="1" x14ac:dyDescent="0.25">
      <c r="A446" s="391" t="s">
        <v>303</v>
      </c>
      <c r="B446" s="392" t="s">
        <v>312</v>
      </c>
      <c r="C446" s="393">
        <v>1</v>
      </c>
      <c r="D446" s="384" t="s">
        <v>168</v>
      </c>
      <c r="E446" s="385">
        <v>65620</v>
      </c>
      <c r="F446" s="386">
        <f t="shared" si="51"/>
        <v>65620</v>
      </c>
    </row>
    <row r="447" spans="1:8" s="387" customFormat="1" ht="28.05" customHeight="1" x14ac:dyDescent="0.25">
      <c r="A447" s="381"/>
      <c r="B447" s="401" t="s">
        <v>313</v>
      </c>
      <c r="C447" s="402"/>
      <c r="D447" s="384"/>
      <c r="E447" s="385"/>
      <c r="F447" s="386"/>
      <c r="H447" s="388"/>
    </row>
    <row r="448" spans="1:8" ht="93" customHeight="1" x14ac:dyDescent="0.25">
      <c r="A448" s="391" t="s">
        <v>304</v>
      </c>
      <c r="B448" s="392" t="s">
        <v>393</v>
      </c>
      <c r="C448" s="393">
        <v>1</v>
      </c>
      <c r="D448" s="384" t="s">
        <v>168</v>
      </c>
      <c r="E448" s="385">
        <v>80570</v>
      </c>
      <c r="F448" s="386">
        <f t="shared" si="51"/>
        <v>80570</v>
      </c>
    </row>
    <row r="449" spans="1:8" x14ac:dyDescent="0.25">
      <c r="A449" s="391"/>
      <c r="B449" s="392"/>
      <c r="C449" s="393"/>
      <c r="D449" s="384"/>
      <c r="E449" s="385"/>
      <c r="F449" s="386"/>
    </row>
    <row r="450" spans="1:8" x14ac:dyDescent="0.25">
      <c r="A450" s="391"/>
      <c r="B450" s="392"/>
      <c r="C450" s="393"/>
      <c r="D450" s="384"/>
      <c r="E450" s="385"/>
      <c r="F450" s="386"/>
    </row>
    <row r="451" spans="1:8" x14ac:dyDescent="0.25">
      <c r="A451" s="391"/>
      <c r="B451" s="392"/>
      <c r="C451" s="393"/>
      <c r="D451" s="384"/>
      <c r="E451" s="385"/>
      <c r="F451" s="386"/>
    </row>
    <row r="452" spans="1:8" s="387" customFormat="1" x14ac:dyDescent="0.25">
      <c r="A452" s="435"/>
      <c r="B452" s="436" t="s">
        <v>46</v>
      </c>
      <c r="C452" s="437"/>
      <c r="D452" s="438"/>
      <c r="E452" s="439"/>
      <c r="F452" s="440">
        <f>SUM(F438:F449)</f>
        <v>287073</v>
      </c>
      <c r="H452" s="388"/>
    </row>
    <row r="453" spans="1:8" s="387" customFormat="1" ht="28.05" customHeight="1" x14ac:dyDescent="0.25">
      <c r="A453" s="441"/>
      <c r="B453" s="442" t="s">
        <v>314</v>
      </c>
      <c r="C453" s="443"/>
      <c r="D453" s="444"/>
      <c r="E453" s="445"/>
      <c r="F453" s="446"/>
      <c r="H453" s="388"/>
    </row>
    <row r="454" spans="1:8" x14ac:dyDescent="0.25">
      <c r="A454" s="447"/>
      <c r="B454" s="448"/>
      <c r="C454" s="449"/>
      <c r="D454" s="450"/>
      <c r="E454" s="451"/>
      <c r="F454" s="452"/>
    </row>
    <row r="455" spans="1:8" x14ac:dyDescent="0.25">
      <c r="A455" s="447"/>
      <c r="B455" s="448" t="s">
        <v>64</v>
      </c>
      <c r="C455" s="449"/>
      <c r="D455" s="450"/>
      <c r="E455" s="451"/>
      <c r="F455" s="452"/>
    </row>
    <row r="456" spans="1:8" x14ac:dyDescent="0.25">
      <c r="A456" s="447"/>
      <c r="B456" s="448" t="s">
        <v>65</v>
      </c>
      <c r="C456" s="449"/>
      <c r="D456" s="450"/>
      <c r="E456" s="451"/>
      <c r="F456" s="452"/>
    </row>
    <row r="457" spans="1:8" x14ac:dyDescent="0.25">
      <c r="A457" s="447"/>
      <c r="B457" s="448" t="s">
        <v>66</v>
      </c>
      <c r="C457" s="449"/>
      <c r="D457" s="450"/>
      <c r="E457" s="451"/>
      <c r="F457" s="452"/>
    </row>
    <row r="458" spans="1:8" x14ac:dyDescent="0.25">
      <c r="A458" s="447"/>
      <c r="B458" s="448"/>
      <c r="C458" s="449"/>
      <c r="D458" s="450"/>
      <c r="E458" s="451"/>
      <c r="F458" s="452"/>
    </row>
    <row r="459" spans="1:8" s="458" customFormat="1" ht="26.25" customHeight="1" x14ac:dyDescent="0.25">
      <c r="A459" s="453" t="s">
        <v>611</v>
      </c>
      <c r="B459" s="454" t="s">
        <v>612</v>
      </c>
      <c r="C459" s="455"/>
      <c r="D459" s="456"/>
      <c r="E459" s="457"/>
      <c r="F459" s="455"/>
      <c r="H459" s="459"/>
    </row>
    <row r="460" spans="1:8" s="458" customFormat="1" ht="15" customHeight="1" x14ac:dyDescent="0.25">
      <c r="A460" s="456"/>
      <c r="B460" s="460" t="s">
        <v>613</v>
      </c>
      <c r="C460" s="455"/>
      <c r="D460" s="456"/>
      <c r="E460" s="457"/>
      <c r="F460" s="455"/>
      <c r="H460" s="459"/>
    </row>
    <row r="461" spans="1:8" s="458" customFormat="1" ht="20.25" customHeight="1" x14ac:dyDescent="0.25">
      <c r="A461" s="461" t="s">
        <v>638</v>
      </c>
      <c r="B461" s="460" t="s">
        <v>614</v>
      </c>
      <c r="C461" s="462">
        <v>2</v>
      </c>
      <c r="D461" s="463" t="s">
        <v>79</v>
      </c>
      <c r="E461" s="457">
        <v>9900</v>
      </c>
      <c r="F461" s="457">
        <f t="shared" ref="F461:F475" si="52">E461*C461</f>
        <v>19800</v>
      </c>
      <c r="H461" s="459">
        <v>20400</v>
      </c>
    </row>
    <row r="462" spans="1:8" s="458" customFormat="1" ht="23.25" customHeight="1" x14ac:dyDescent="0.25">
      <c r="A462" s="461" t="s">
        <v>639</v>
      </c>
      <c r="B462" s="460" t="s">
        <v>615</v>
      </c>
      <c r="C462" s="462">
        <v>1</v>
      </c>
      <c r="D462" s="463" t="s">
        <v>79</v>
      </c>
      <c r="E462" s="457">
        <v>148000</v>
      </c>
      <c r="F462" s="457">
        <v>126500</v>
      </c>
      <c r="H462" s="459">
        <v>240000</v>
      </c>
    </row>
    <row r="463" spans="1:8" s="458" customFormat="1" ht="18" customHeight="1" x14ac:dyDescent="0.25">
      <c r="A463" s="461" t="s">
        <v>640</v>
      </c>
      <c r="B463" s="460" t="s">
        <v>616</v>
      </c>
      <c r="C463" s="462">
        <v>7</v>
      </c>
      <c r="D463" s="463" t="s">
        <v>79</v>
      </c>
      <c r="E463" s="457">
        <v>5630</v>
      </c>
      <c r="F463" s="457">
        <f t="shared" si="52"/>
        <v>39410</v>
      </c>
      <c r="H463" s="459">
        <v>10790</v>
      </c>
    </row>
    <row r="464" spans="1:8" s="458" customFormat="1" ht="20.25" customHeight="1" x14ac:dyDescent="0.25">
      <c r="A464" s="461" t="s">
        <v>641</v>
      </c>
      <c r="B464" s="460" t="s">
        <v>617</v>
      </c>
      <c r="C464" s="462">
        <v>7</v>
      </c>
      <c r="D464" s="463" t="s">
        <v>79</v>
      </c>
      <c r="E464" s="457">
        <v>3500</v>
      </c>
      <c r="F464" s="457">
        <f t="shared" si="52"/>
        <v>24500</v>
      </c>
      <c r="H464" s="459">
        <v>6970</v>
      </c>
    </row>
    <row r="465" spans="1:8" s="458" customFormat="1" ht="19.5" customHeight="1" x14ac:dyDescent="0.25">
      <c r="A465" s="461" t="s">
        <v>642</v>
      </c>
      <c r="B465" s="460" t="s">
        <v>618</v>
      </c>
      <c r="C465" s="462">
        <v>1</v>
      </c>
      <c r="D465" s="463" t="s">
        <v>79</v>
      </c>
      <c r="E465" s="457">
        <v>1200</v>
      </c>
      <c r="F465" s="457">
        <f t="shared" si="52"/>
        <v>1200</v>
      </c>
      <c r="H465" s="459">
        <v>1540</v>
      </c>
    </row>
    <row r="466" spans="1:8" s="458" customFormat="1" ht="19.5" customHeight="1" x14ac:dyDescent="0.25">
      <c r="A466" s="461" t="s">
        <v>643</v>
      </c>
      <c r="B466" s="460" t="s">
        <v>619</v>
      </c>
      <c r="C466" s="462">
        <v>1</v>
      </c>
      <c r="D466" s="463" t="s">
        <v>79</v>
      </c>
      <c r="E466" s="457">
        <v>2850</v>
      </c>
      <c r="F466" s="457">
        <f t="shared" si="52"/>
        <v>2850</v>
      </c>
      <c r="H466" s="459">
        <v>4430</v>
      </c>
    </row>
    <row r="467" spans="1:8" s="458" customFormat="1" ht="18.75" customHeight="1" x14ac:dyDescent="0.25">
      <c r="A467" s="461" t="s">
        <v>644</v>
      </c>
      <c r="B467" s="460" t="s">
        <v>67</v>
      </c>
      <c r="C467" s="462">
        <v>1</v>
      </c>
      <c r="D467" s="463" t="s">
        <v>79</v>
      </c>
      <c r="E467" s="457">
        <v>16500</v>
      </c>
      <c r="F467" s="457">
        <f t="shared" si="52"/>
        <v>16500</v>
      </c>
      <c r="H467" s="459">
        <v>7000</v>
      </c>
    </row>
    <row r="468" spans="1:8" s="458" customFormat="1" ht="21.75" customHeight="1" x14ac:dyDescent="0.25">
      <c r="A468" s="461" t="s">
        <v>645</v>
      </c>
      <c r="B468" s="460" t="s">
        <v>68</v>
      </c>
      <c r="C468" s="462">
        <v>1</v>
      </c>
      <c r="D468" s="463" t="s">
        <v>79</v>
      </c>
      <c r="E468" s="457">
        <v>8500</v>
      </c>
      <c r="F468" s="457">
        <f t="shared" si="52"/>
        <v>8500</v>
      </c>
      <c r="H468" s="459">
        <v>20000</v>
      </c>
    </row>
    <row r="469" spans="1:8" s="458" customFormat="1" ht="18" customHeight="1" x14ac:dyDescent="0.25">
      <c r="A469" s="461" t="s">
        <v>646</v>
      </c>
      <c r="B469" s="460" t="s">
        <v>69</v>
      </c>
      <c r="C469" s="462">
        <v>1</v>
      </c>
      <c r="D469" s="463" t="s">
        <v>79</v>
      </c>
      <c r="E469" s="457">
        <v>1150</v>
      </c>
      <c r="F469" s="457">
        <f t="shared" si="52"/>
        <v>1150</v>
      </c>
      <c r="H469" s="459">
        <v>19700</v>
      </c>
    </row>
    <row r="470" spans="1:8" s="458" customFormat="1" ht="30.75" customHeight="1" x14ac:dyDescent="0.25">
      <c r="A470" s="461" t="s">
        <v>647</v>
      </c>
      <c r="B470" s="460" t="s">
        <v>620</v>
      </c>
      <c r="C470" s="462">
        <v>2</v>
      </c>
      <c r="D470" s="463" t="s">
        <v>79</v>
      </c>
      <c r="E470" s="457">
        <v>1650</v>
      </c>
      <c r="F470" s="457">
        <f t="shared" si="52"/>
        <v>3300</v>
      </c>
      <c r="H470" s="459">
        <v>3000</v>
      </c>
    </row>
    <row r="471" spans="1:8" s="458" customFormat="1" ht="30" customHeight="1" x14ac:dyDescent="0.25">
      <c r="A471" s="461" t="s">
        <v>648</v>
      </c>
      <c r="B471" s="460" t="s">
        <v>70</v>
      </c>
      <c r="C471" s="462">
        <v>7</v>
      </c>
      <c r="D471" s="463" t="s">
        <v>79</v>
      </c>
      <c r="E471" s="457">
        <v>1650</v>
      </c>
      <c r="F471" s="457">
        <f t="shared" si="52"/>
        <v>11550</v>
      </c>
      <c r="H471" s="459">
        <v>5500</v>
      </c>
    </row>
    <row r="472" spans="1:8" s="458" customFormat="1" ht="30" customHeight="1" x14ac:dyDescent="0.25">
      <c r="A472" s="461" t="s">
        <v>649</v>
      </c>
      <c r="B472" s="460" t="s">
        <v>621</v>
      </c>
      <c r="C472" s="462">
        <v>1</v>
      </c>
      <c r="D472" s="463" t="s">
        <v>79</v>
      </c>
      <c r="E472" s="457">
        <v>4500</v>
      </c>
      <c r="F472" s="457">
        <f t="shared" si="52"/>
        <v>4500</v>
      </c>
      <c r="H472" s="459">
        <v>5000</v>
      </c>
    </row>
    <row r="473" spans="1:8" s="458" customFormat="1" ht="30" customHeight="1" x14ac:dyDescent="0.25">
      <c r="A473" s="461" t="s">
        <v>650</v>
      </c>
      <c r="B473" s="460" t="s">
        <v>622</v>
      </c>
      <c r="C473" s="462">
        <v>1</v>
      </c>
      <c r="D473" s="463" t="s">
        <v>79</v>
      </c>
      <c r="E473" s="457">
        <v>2500</v>
      </c>
      <c r="F473" s="457">
        <f t="shared" si="52"/>
        <v>2500</v>
      </c>
      <c r="H473" s="459">
        <v>7375</v>
      </c>
    </row>
    <row r="474" spans="1:8" s="458" customFormat="1" ht="30" customHeight="1" x14ac:dyDescent="0.25">
      <c r="A474" s="461" t="s">
        <v>651</v>
      </c>
      <c r="B474" s="460" t="s">
        <v>623</v>
      </c>
      <c r="C474" s="462">
        <v>1</v>
      </c>
      <c r="D474" s="463" t="s">
        <v>79</v>
      </c>
      <c r="E474" s="457">
        <v>23000</v>
      </c>
      <c r="F474" s="457">
        <f t="shared" si="52"/>
        <v>23000</v>
      </c>
      <c r="H474" s="459">
        <v>10000</v>
      </c>
    </row>
    <row r="475" spans="1:8" s="458" customFormat="1" ht="42.75" customHeight="1" x14ac:dyDescent="0.25">
      <c r="A475" s="461" t="s">
        <v>652</v>
      </c>
      <c r="B475" s="460" t="s">
        <v>624</v>
      </c>
      <c r="C475" s="462">
        <v>1</v>
      </c>
      <c r="D475" s="463" t="s">
        <v>79</v>
      </c>
      <c r="E475" s="457">
        <v>35000</v>
      </c>
      <c r="F475" s="457">
        <f t="shared" si="52"/>
        <v>35000</v>
      </c>
      <c r="H475" s="459">
        <v>125000</v>
      </c>
    </row>
    <row r="476" spans="1:8" s="458" customFormat="1" ht="13.2" x14ac:dyDescent="0.25">
      <c r="A476" s="456"/>
      <c r="B476" s="455"/>
      <c r="C476" s="455"/>
      <c r="D476" s="456"/>
      <c r="E476" s="457"/>
      <c r="F476" s="455"/>
      <c r="H476" s="459"/>
    </row>
    <row r="477" spans="1:8" s="458" customFormat="1" thickBot="1" x14ac:dyDescent="0.3">
      <c r="A477" s="456"/>
      <c r="B477" s="455"/>
      <c r="C477" s="455"/>
      <c r="D477" s="456"/>
      <c r="E477" s="457"/>
      <c r="F477" s="464">
        <f>SUM(F461:F476)</f>
        <v>320260</v>
      </c>
      <c r="H477" s="459">
        <f>SUM(H461:H476)</f>
        <v>486705</v>
      </c>
    </row>
    <row r="478" spans="1:8" s="458" customFormat="1" thickTop="1" x14ac:dyDescent="0.25">
      <c r="A478" s="465" t="s">
        <v>625</v>
      </c>
      <c r="B478" s="466" t="s">
        <v>626</v>
      </c>
      <c r="C478" s="455"/>
      <c r="D478" s="456"/>
      <c r="E478" s="457"/>
      <c r="F478" s="455"/>
      <c r="H478" s="459"/>
    </row>
    <row r="479" spans="1:8" s="458" customFormat="1" ht="13.2" x14ac:dyDescent="0.25">
      <c r="A479" s="456"/>
      <c r="B479" s="460" t="s">
        <v>613</v>
      </c>
      <c r="C479" s="455"/>
      <c r="D479" s="456"/>
      <c r="E479" s="457"/>
      <c r="F479" s="455"/>
      <c r="H479" s="459"/>
    </row>
    <row r="480" spans="1:8" s="458" customFormat="1" ht="19.5" customHeight="1" x14ac:dyDescent="0.25">
      <c r="A480" s="461" t="s">
        <v>662</v>
      </c>
      <c r="B480" s="467" t="s">
        <v>627</v>
      </c>
      <c r="C480" s="468">
        <v>1</v>
      </c>
      <c r="D480" s="463" t="s">
        <v>79</v>
      </c>
      <c r="E480" s="457">
        <v>5630</v>
      </c>
      <c r="F480" s="457">
        <f>E480*C480</f>
        <v>5630</v>
      </c>
      <c r="H480" s="459"/>
    </row>
    <row r="481" spans="1:8" s="458" customFormat="1" ht="18.75" customHeight="1" x14ac:dyDescent="0.25">
      <c r="A481" s="461" t="s">
        <v>663</v>
      </c>
      <c r="B481" s="460" t="s">
        <v>628</v>
      </c>
      <c r="C481" s="468">
        <v>3</v>
      </c>
      <c r="D481" s="463" t="s">
        <v>79</v>
      </c>
      <c r="E481" s="457">
        <v>5200</v>
      </c>
      <c r="F481" s="457">
        <f t="shared" ref="F481:F488" si="53">E481*C481</f>
        <v>15600</v>
      </c>
      <c r="H481" s="459"/>
    </row>
    <row r="482" spans="1:8" s="458" customFormat="1" ht="18.75" customHeight="1" x14ac:dyDescent="0.25">
      <c r="A482" s="461" t="s">
        <v>664</v>
      </c>
      <c r="B482" s="460" t="s">
        <v>619</v>
      </c>
      <c r="C482" s="468">
        <v>3</v>
      </c>
      <c r="D482" s="463" t="s">
        <v>79</v>
      </c>
      <c r="E482" s="457">
        <v>4235</v>
      </c>
      <c r="F482" s="457">
        <f t="shared" si="53"/>
        <v>12705</v>
      </c>
      <c r="H482" s="459"/>
    </row>
    <row r="483" spans="1:8" s="458" customFormat="1" ht="22.5" customHeight="1" x14ac:dyDescent="0.25">
      <c r="A483" s="461" t="s">
        <v>665</v>
      </c>
      <c r="B483" s="460" t="s">
        <v>629</v>
      </c>
      <c r="C483" s="468">
        <v>16</v>
      </c>
      <c r="D483" s="463" t="s">
        <v>79</v>
      </c>
      <c r="E483" s="457">
        <v>687</v>
      </c>
      <c r="F483" s="457">
        <f t="shared" si="53"/>
        <v>10992</v>
      </c>
      <c r="H483" s="459"/>
    </row>
    <row r="484" spans="1:8" s="458" customFormat="1" ht="23.25" customHeight="1" x14ac:dyDescent="0.25">
      <c r="A484" s="461" t="s">
        <v>666</v>
      </c>
      <c r="B484" s="460" t="s">
        <v>630</v>
      </c>
      <c r="C484" s="468">
        <v>12</v>
      </c>
      <c r="D484" s="463" t="s">
        <v>79</v>
      </c>
      <c r="E484" s="457">
        <v>687</v>
      </c>
      <c r="F484" s="457">
        <f t="shared" si="53"/>
        <v>8244</v>
      </c>
      <c r="H484" s="459"/>
    </row>
    <row r="485" spans="1:8" s="458" customFormat="1" ht="21" customHeight="1" x14ac:dyDescent="0.25">
      <c r="A485" s="461" t="s">
        <v>667</v>
      </c>
      <c r="B485" s="460" t="s">
        <v>71</v>
      </c>
      <c r="C485" s="468">
        <v>1</v>
      </c>
      <c r="D485" s="463" t="s">
        <v>79</v>
      </c>
      <c r="E485" s="457">
        <v>1650</v>
      </c>
      <c r="F485" s="457">
        <f t="shared" si="53"/>
        <v>1650</v>
      </c>
      <c r="H485" s="459"/>
    </row>
    <row r="486" spans="1:8" s="458" customFormat="1" ht="21" customHeight="1" x14ac:dyDescent="0.25">
      <c r="A486" s="461" t="s">
        <v>668</v>
      </c>
      <c r="B486" s="460" t="s">
        <v>631</v>
      </c>
      <c r="C486" s="468">
        <v>1</v>
      </c>
      <c r="D486" s="463" t="s">
        <v>79</v>
      </c>
      <c r="E486" s="457">
        <v>3500</v>
      </c>
      <c r="F486" s="457">
        <f t="shared" si="53"/>
        <v>3500</v>
      </c>
      <c r="H486" s="459"/>
    </row>
    <row r="487" spans="1:8" s="458" customFormat="1" ht="21" customHeight="1" x14ac:dyDescent="0.25">
      <c r="A487" s="461" t="s">
        <v>669</v>
      </c>
      <c r="B487" s="460" t="s">
        <v>632</v>
      </c>
      <c r="C487" s="468">
        <v>1</v>
      </c>
      <c r="D487" s="463" t="s">
        <v>79</v>
      </c>
      <c r="E487" s="457">
        <v>15000</v>
      </c>
      <c r="F487" s="457">
        <v>15000</v>
      </c>
      <c r="H487" s="459"/>
    </row>
    <row r="488" spans="1:8" s="458" customFormat="1" ht="35.25" customHeight="1" x14ac:dyDescent="0.25">
      <c r="A488" s="461" t="s">
        <v>670</v>
      </c>
      <c r="B488" s="460" t="s">
        <v>633</v>
      </c>
      <c r="C488" s="468">
        <v>1</v>
      </c>
      <c r="D488" s="463" t="s">
        <v>79</v>
      </c>
      <c r="E488" s="457">
        <v>9500</v>
      </c>
      <c r="F488" s="457">
        <f t="shared" si="53"/>
        <v>9500</v>
      </c>
      <c r="H488" s="459"/>
    </row>
    <row r="489" spans="1:8" s="458" customFormat="1" ht="13.2" x14ac:dyDescent="0.25">
      <c r="A489" s="456"/>
      <c r="B489" s="455"/>
      <c r="C489" s="455"/>
      <c r="D489" s="456"/>
      <c r="E489" s="457"/>
      <c r="F489" s="455"/>
      <c r="H489" s="459"/>
    </row>
    <row r="490" spans="1:8" s="458" customFormat="1" thickBot="1" x14ac:dyDescent="0.3">
      <c r="A490" s="456"/>
      <c r="B490" s="455"/>
      <c r="C490" s="455"/>
      <c r="D490" s="456"/>
      <c r="E490" s="457"/>
      <c r="F490" s="464">
        <f>SUM(F480:F489)</f>
        <v>82821</v>
      </c>
      <c r="H490" s="459"/>
    </row>
    <row r="491" spans="1:8" s="458" customFormat="1" thickTop="1" x14ac:dyDescent="0.25">
      <c r="A491" s="456" t="s">
        <v>634</v>
      </c>
      <c r="B491" s="466" t="s">
        <v>635</v>
      </c>
      <c r="C491" s="455"/>
      <c r="D491" s="456"/>
      <c r="E491" s="457"/>
      <c r="F491" s="455"/>
      <c r="H491" s="459"/>
    </row>
    <row r="492" spans="1:8" s="458" customFormat="1" ht="13.2" x14ac:dyDescent="0.25">
      <c r="A492" s="456"/>
      <c r="B492" s="460" t="s">
        <v>613</v>
      </c>
      <c r="C492" s="455"/>
      <c r="D492" s="456"/>
      <c r="E492" s="457"/>
      <c r="F492" s="455"/>
      <c r="H492" s="459"/>
    </row>
    <row r="493" spans="1:8" s="458" customFormat="1" ht="13.2" x14ac:dyDescent="0.25">
      <c r="A493" s="461" t="s">
        <v>671</v>
      </c>
      <c r="B493" s="467" t="s">
        <v>627</v>
      </c>
      <c r="C493" s="468">
        <v>1</v>
      </c>
      <c r="D493" s="463" t="s">
        <v>79</v>
      </c>
      <c r="E493" s="457">
        <v>5630</v>
      </c>
      <c r="F493" s="457">
        <f>E493*C493</f>
        <v>5630</v>
      </c>
      <c r="H493" s="459"/>
    </row>
    <row r="494" spans="1:8" s="458" customFormat="1" ht="13.2" x14ac:dyDescent="0.25">
      <c r="A494" s="461" t="s">
        <v>672</v>
      </c>
      <c r="B494" s="460" t="s">
        <v>628</v>
      </c>
      <c r="C494" s="468">
        <v>3</v>
      </c>
      <c r="D494" s="463" t="s">
        <v>79</v>
      </c>
      <c r="E494" s="457">
        <v>5200</v>
      </c>
      <c r="F494" s="457">
        <f t="shared" ref="F494:F501" si="54">E494*C494</f>
        <v>15600</v>
      </c>
      <c r="H494" s="459"/>
    </row>
    <row r="495" spans="1:8" s="458" customFormat="1" ht="13.2" x14ac:dyDescent="0.25">
      <c r="A495" s="461" t="s">
        <v>673</v>
      </c>
      <c r="B495" s="460" t="s">
        <v>619</v>
      </c>
      <c r="C495" s="468">
        <v>3</v>
      </c>
      <c r="D495" s="463" t="s">
        <v>79</v>
      </c>
      <c r="E495" s="457">
        <v>4235</v>
      </c>
      <c r="F495" s="457">
        <f t="shared" si="54"/>
        <v>12705</v>
      </c>
      <c r="H495" s="459"/>
    </row>
    <row r="496" spans="1:8" s="458" customFormat="1" ht="13.2" x14ac:dyDescent="0.25">
      <c r="A496" s="461" t="s">
        <v>674</v>
      </c>
      <c r="B496" s="460" t="s">
        <v>629</v>
      </c>
      <c r="C496" s="468">
        <v>12</v>
      </c>
      <c r="D496" s="463" t="s">
        <v>79</v>
      </c>
      <c r="E496" s="457">
        <v>687</v>
      </c>
      <c r="F496" s="457">
        <f t="shared" si="54"/>
        <v>8244</v>
      </c>
      <c r="H496" s="459"/>
    </row>
    <row r="497" spans="1:8" s="458" customFormat="1" ht="13.2" x14ac:dyDescent="0.25">
      <c r="A497" s="461" t="s">
        <v>675</v>
      </c>
      <c r="B497" s="460" t="s">
        <v>630</v>
      </c>
      <c r="C497" s="468">
        <v>15</v>
      </c>
      <c r="D497" s="463" t="s">
        <v>79</v>
      </c>
      <c r="E497" s="457">
        <v>687</v>
      </c>
      <c r="F497" s="457">
        <f t="shared" si="54"/>
        <v>10305</v>
      </c>
      <c r="H497" s="459"/>
    </row>
    <row r="498" spans="1:8" s="458" customFormat="1" ht="13.2" x14ac:dyDescent="0.25">
      <c r="A498" s="461" t="s">
        <v>676</v>
      </c>
      <c r="B498" s="460" t="s">
        <v>631</v>
      </c>
      <c r="C498" s="468">
        <v>1</v>
      </c>
      <c r="D498" s="463" t="s">
        <v>79</v>
      </c>
      <c r="E498" s="457">
        <v>3500</v>
      </c>
      <c r="F498" s="457">
        <f t="shared" si="54"/>
        <v>3500</v>
      </c>
      <c r="H498" s="459"/>
    </row>
    <row r="499" spans="1:8" s="458" customFormat="1" ht="13.2" x14ac:dyDescent="0.25">
      <c r="A499" s="461" t="s">
        <v>677</v>
      </c>
      <c r="B499" s="460" t="s">
        <v>632</v>
      </c>
      <c r="C499" s="468">
        <v>1</v>
      </c>
      <c r="D499" s="463" t="s">
        <v>79</v>
      </c>
      <c r="E499" s="457">
        <v>15000</v>
      </c>
      <c r="F499" s="457">
        <f t="shared" si="54"/>
        <v>15000</v>
      </c>
      <c r="H499" s="459"/>
    </row>
    <row r="500" spans="1:8" s="458" customFormat="1" ht="13.2" x14ac:dyDescent="0.25">
      <c r="A500" s="461" t="s">
        <v>678</v>
      </c>
      <c r="B500" s="460" t="s">
        <v>71</v>
      </c>
      <c r="C500" s="468">
        <v>1</v>
      </c>
      <c r="D500" s="463" t="s">
        <v>79</v>
      </c>
      <c r="E500" s="469">
        <v>1650</v>
      </c>
      <c r="F500" s="457">
        <f t="shared" si="54"/>
        <v>1650</v>
      </c>
      <c r="H500" s="459"/>
    </row>
    <row r="501" spans="1:8" s="458" customFormat="1" ht="26.4" x14ac:dyDescent="0.25">
      <c r="A501" s="461" t="s">
        <v>679</v>
      </c>
      <c r="B501" s="460" t="s">
        <v>680</v>
      </c>
      <c r="C501" s="468">
        <v>1</v>
      </c>
      <c r="D501" s="463" t="s">
        <v>79</v>
      </c>
      <c r="E501" s="469">
        <v>9500</v>
      </c>
      <c r="F501" s="457">
        <f t="shared" si="54"/>
        <v>9500</v>
      </c>
      <c r="H501" s="459"/>
    </row>
    <row r="502" spans="1:8" s="458" customFormat="1" ht="13.2" x14ac:dyDescent="0.25">
      <c r="A502" s="470"/>
      <c r="B502" s="455"/>
      <c r="C502" s="455"/>
      <c r="D502" s="456"/>
      <c r="E502" s="457"/>
      <c r="F502" s="455"/>
      <c r="H502" s="459"/>
    </row>
    <row r="503" spans="1:8" s="458" customFormat="1" thickBot="1" x14ac:dyDescent="0.3">
      <c r="A503" s="456"/>
      <c r="B503" s="455"/>
      <c r="C503" s="455"/>
      <c r="D503" s="456"/>
      <c r="E503" s="457"/>
      <c r="F503" s="464">
        <f>SUM(F493:F502)</f>
        <v>82134</v>
      </c>
      <c r="H503" s="459"/>
    </row>
    <row r="504" spans="1:8" s="458" customFormat="1" thickTop="1" x14ac:dyDescent="0.25">
      <c r="A504" s="456" t="s">
        <v>636</v>
      </c>
      <c r="B504" s="466" t="s">
        <v>637</v>
      </c>
      <c r="C504" s="455"/>
      <c r="D504" s="456"/>
      <c r="E504" s="457"/>
      <c r="F504" s="455"/>
      <c r="H504" s="459"/>
    </row>
    <row r="505" spans="1:8" s="458" customFormat="1" ht="13.2" x14ac:dyDescent="0.25">
      <c r="A505" s="456"/>
      <c r="B505" s="460" t="s">
        <v>613</v>
      </c>
      <c r="C505" s="455"/>
      <c r="D505" s="456"/>
      <c r="E505" s="457"/>
      <c r="F505" s="455"/>
      <c r="H505" s="459"/>
    </row>
    <row r="506" spans="1:8" s="458" customFormat="1" ht="13.2" x14ac:dyDescent="0.25">
      <c r="A506" s="461" t="s">
        <v>653</v>
      </c>
      <c r="B506" s="467" t="s">
        <v>627</v>
      </c>
      <c r="C506" s="468">
        <v>1</v>
      </c>
      <c r="D506" s="463" t="s">
        <v>0</v>
      </c>
      <c r="E506" s="457">
        <v>5630</v>
      </c>
      <c r="F506" s="457">
        <f>E506*C506</f>
        <v>5630</v>
      </c>
      <c r="H506" s="459"/>
    </row>
    <row r="507" spans="1:8" s="458" customFormat="1" ht="13.2" x14ac:dyDescent="0.25">
      <c r="A507" s="461" t="s">
        <v>654</v>
      </c>
      <c r="B507" s="460" t="s">
        <v>628</v>
      </c>
      <c r="C507" s="468">
        <v>3</v>
      </c>
      <c r="D507" s="463" t="s">
        <v>0</v>
      </c>
      <c r="E507" s="457">
        <v>5200</v>
      </c>
      <c r="F507" s="457">
        <f t="shared" ref="F507:F514" si="55">E507*C507</f>
        <v>15600</v>
      </c>
      <c r="H507" s="459"/>
    </row>
    <row r="508" spans="1:8" s="458" customFormat="1" ht="13.2" x14ac:dyDescent="0.25">
      <c r="A508" s="461" t="s">
        <v>655</v>
      </c>
      <c r="B508" s="460" t="s">
        <v>619</v>
      </c>
      <c r="C508" s="468">
        <v>3</v>
      </c>
      <c r="D508" s="463" t="s">
        <v>0</v>
      </c>
      <c r="E508" s="457">
        <v>4235</v>
      </c>
      <c r="F508" s="457">
        <f t="shared" si="55"/>
        <v>12705</v>
      </c>
      <c r="H508" s="459"/>
    </row>
    <row r="509" spans="1:8" s="458" customFormat="1" ht="13.2" x14ac:dyDescent="0.25">
      <c r="A509" s="461" t="s">
        <v>656</v>
      </c>
      <c r="B509" s="460" t="s">
        <v>629</v>
      </c>
      <c r="C509" s="468">
        <v>12</v>
      </c>
      <c r="D509" s="463" t="s">
        <v>0</v>
      </c>
      <c r="E509" s="457">
        <v>687</v>
      </c>
      <c r="F509" s="457">
        <f t="shared" si="55"/>
        <v>8244</v>
      </c>
      <c r="H509" s="459"/>
    </row>
    <row r="510" spans="1:8" s="458" customFormat="1" ht="13.2" x14ac:dyDescent="0.25">
      <c r="A510" s="461" t="s">
        <v>657</v>
      </c>
      <c r="B510" s="460" t="s">
        <v>630</v>
      </c>
      <c r="C510" s="468">
        <v>15</v>
      </c>
      <c r="D510" s="463" t="s">
        <v>0</v>
      </c>
      <c r="E510" s="457">
        <v>687</v>
      </c>
      <c r="F510" s="457">
        <f t="shared" si="55"/>
        <v>10305</v>
      </c>
      <c r="H510" s="459"/>
    </row>
    <row r="511" spans="1:8" s="458" customFormat="1" ht="13.2" x14ac:dyDescent="0.25">
      <c r="A511" s="461" t="s">
        <v>658</v>
      </c>
      <c r="B511" s="460" t="s">
        <v>631</v>
      </c>
      <c r="C511" s="468">
        <v>1</v>
      </c>
      <c r="D511" s="463" t="s">
        <v>0</v>
      </c>
      <c r="E511" s="457">
        <v>3500</v>
      </c>
      <c r="F511" s="457">
        <f t="shared" si="55"/>
        <v>3500</v>
      </c>
      <c r="H511" s="459"/>
    </row>
    <row r="512" spans="1:8" s="458" customFormat="1" ht="13.2" x14ac:dyDescent="0.25">
      <c r="A512" s="461" t="s">
        <v>659</v>
      </c>
      <c r="B512" s="460" t="s">
        <v>632</v>
      </c>
      <c r="C512" s="468">
        <v>1</v>
      </c>
      <c r="D512" s="463" t="s">
        <v>0</v>
      </c>
      <c r="E512" s="457">
        <v>15000</v>
      </c>
      <c r="F512" s="457">
        <f t="shared" si="55"/>
        <v>15000</v>
      </c>
      <c r="H512" s="459"/>
    </row>
    <row r="513" spans="1:8" s="458" customFormat="1" ht="13.2" x14ac:dyDescent="0.25">
      <c r="A513" s="461" t="s">
        <v>660</v>
      </c>
      <c r="B513" s="460" t="s">
        <v>71</v>
      </c>
      <c r="C513" s="468">
        <v>1</v>
      </c>
      <c r="D513" s="463" t="s">
        <v>0</v>
      </c>
      <c r="E513" s="457">
        <v>1650</v>
      </c>
      <c r="F513" s="457">
        <f t="shared" si="55"/>
        <v>1650</v>
      </c>
      <c r="H513" s="459"/>
    </row>
    <row r="514" spans="1:8" s="458" customFormat="1" ht="26.4" x14ac:dyDescent="0.25">
      <c r="A514" s="461" t="s">
        <v>661</v>
      </c>
      <c r="B514" s="460" t="s">
        <v>633</v>
      </c>
      <c r="C514" s="468">
        <v>1</v>
      </c>
      <c r="D514" s="463" t="s">
        <v>0</v>
      </c>
      <c r="E514" s="457">
        <v>9500</v>
      </c>
      <c r="F514" s="457">
        <f t="shared" si="55"/>
        <v>9500</v>
      </c>
      <c r="H514" s="459"/>
    </row>
    <row r="515" spans="1:8" ht="14.4" thickBot="1" x14ac:dyDescent="0.3">
      <c r="A515" s="471"/>
      <c r="B515" s="472"/>
      <c r="C515" s="473"/>
      <c r="D515" s="474"/>
      <c r="E515" s="475"/>
      <c r="F515" s="476">
        <f>SUM(F506:F514)</f>
        <v>82134</v>
      </c>
    </row>
    <row r="516" spans="1:8" ht="14.4" thickTop="1" x14ac:dyDescent="0.25">
      <c r="A516" s="477"/>
      <c r="B516" s="478"/>
      <c r="C516" s="479"/>
      <c r="D516" s="480"/>
      <c r="E516" s="481"/>
      <c r="F516" s="482"/>
    </row>
    <row r="517" spans="1:8" ht="46.5" customHeight="1" x14ac:dyDescent="0.25">
      <c r="A517" s="483" t="s">
        <v>315</v>
      </c>
      <c r="B517" s="484" t="s">
        <v>593</v>
      </c>
      <c r="C517" s="485">
        <v>50</v>
      </c>
      <c r="D517" s="486" t="s">
        <v>56</v>
      </c>
      <c r="E517" s="487">
        <f>760*3.28</f>
        <v>2492.7999999999997</v>
      </c>
      <c r="F517" s="488">
        <f>E517*C517</f>
        <v>124639.99999999999</v>
      </c>
    </row>
    <row r="518" spans="1:8" x14ac:dyDescent="0.25">
      <c r="A518" s="489"/>
      <c r="B518" s="490"/>
      <c r="C518" s="473"/>
      <c r="D518" s="474"/>
      <c r="E518" s="475"/>
      <c r="F518" s="482"/>
    </row>
    <row r="519" spans="1:8" x14ac:dyDescent="0.25">
      <c r="A519" s="391" t="s">
        <v>316</v>
      </c>
      <c r="B519" s="491" t="s">
        <v>72</v>
      </c>
      <c r="C519" s="479">
        <v>3</v>
      </c>
      <c r="D519" s="480" t="s">
        <v>0</v>
      </c>
      <c r="E519" s="481">
        <v>4380</v>
      </c>
      <c r="F519" s="492">
        <f>E519*C519</f>
        <v>13140</v>
      </c>
    </row>
    <row r="520" spans="1:8" ht="55.2" x14ac:dyDescent="0.25">
      <c r="A520" s="391"/>
      <c r="B520" s="491" t="s">
        <v>73</v>
      </c>
      <c r="C520" s="479"/>
      <c r="D520" s="480"/>
      <c r="E520" s="481"/>
      <c r="F520" s="492"/>
    </row>
    <row r="521" spans="1:8" x14ac:dyDescent="0.25">
      <c r="A521" s="391"/>
      <c r="B521" s="491"/>
      <c r="C521" s="479"/>
      <c r="D521" s="480"/>
      <c r="E521" s="481"/>
      <c r="F521" s="492"/>
    </row>
    <row r="522" spans="1:8" x14ac:dyDescent="0.25">
      <c r="A522" s="391" t="s">
        <v>317</v>
      </c>
      <c r="B522" s="491" t="s">
        <v>74</v>
      </c>
      <c r="C522" s="479">
        <v>52</v>
      </c>
      <c r="D522" s="480" t="s">
        <v>0</v>
      </c>
      <c r="E522" s="481">
        <v>4150</v>
      </c>
      <c r="F522" s="492">
        <f>C522*E522</f>
        <v>215800</v>
      </c>
    </row>
    <row r="523" spans="1:8" ht="55.2" x14ac:dyDescent="0.25">
      <c r="A523" s="391"/>
      <c r="B523" s="491" t="s">
        <v>75</v>
      </c>
      <c r="C523" s="479"/>
      <c r="D523" s="480"/>
      <c r="E523" s="481"/>
      <c r="F523" s="492"/>
    </row>
    <row r="524" spans="1:8" x14ac:dyDescent="0.25">
      <c r="A524" s="391"/>
      <c r="B524" s="491"/>
      <c r="C524" s="479"/>
      <c r="D524" s="493"/>
      <c r="E524" s="494"/>
      <c r="F524" s="492"/>
    </row>
    <row r="525" spans="1:8" x14ac:dyDescent="0.25">
      <c r="A525" s="391" t="s">
        <v>318</v>
      </c>
      <c r="B525" s="491" t="s">
        <v>125</v>
      </c>
      <c r="C525" s="479"/>
      <c r="D525" s="493"/>
      <c r="E525" s="494"/>
      <c r="F525" s="492"/>
    </row>
    <row r="526" spans="1:8" ht="55.2" x14ac:dyDescent="0.25">
      <c r="A526" s="391"/>
      <c r="B526" s="491" t="s">
        <v>594</v>
      </c>
      <c r="C526" s="479">
        <v>26</v>
      </c>
      <c r="D526" s="493" t="s">
        <v>0</v>
      </c>
      <c r="E526" s="494">
        <v>3395</v>
      </c>
      <c r="F526" s="492">
        <f>C526*E526</f>
        <v>88270</v>
      </c>
    </row>
    <row r="527" spans="1:8" x14ac:dyDescent="0.25">
      <c r="A527" s="391"/>
      <c r="B527" s="491"/>
      <c r="C527" s="479"/>
      <c r="D527" s="493"/>
      <c r="E527" s="494"/>
      <c r="F527" s="492"/>
    </row>
    <row r="528" spans="1:8" x14ac:dyDescent="0.25">
      <c r="A528" s="391" t="s">
        <v>319</v>
      </c>
      <c r="B528" s="491" t="s">
        <v>103</v>
      </c>
      <c r="C528" s="479">
        <v>3</v>
      </c>
      <c r="D528" s="493" t="s">
        <v>0</v>
      </c>
      <c r="E528" s="494">
        <v>3250</v>
      </c>
      <c r="F528" s="492">
        <f>E528*C528</f>
        <v>9750</v>
      </c>
    </row>
    <row r="529" spans="1:6" x14ac:dyDescent="0.25">
      <c r="A529" s="391"/>
      <c r="B529" s="491"/>
      <c r="C529" s="479"/>
      <c r="D529" s="493"/>
      <c r="E529" s="494"/>
      <c r="F529" s="492"/>
    </row>
    <row r="530" spans="1:6" x14ac:dyDescent="0.25">
      <c r="A530" s="391" t="s">
        <v>320</v>
      </c>
      <c r="B530" s="491" t="s">
        <v>104</v>
      </c>
      <c r="C530" s="479">
        <v>3</v>
      </c>
      <c r="D530" s="493" t="s">
        <v>0</v>
      </c>
      <c r="E530" s="494">
        <v>4200</v>
      </c>
      <c r="F530" s="492">
        <f>E530*C530</f>
        <v>12600</v>
      </c>
    </row>
    <row r="531" spans="1:6" x14ac:dyDescent="0.25">
      <c r="A531" s="391"/>
      <c r="B531" s="491"/>
      <c r="C531" s="479"/>
      <c r="D531" s="493"/>
      <c r="E531" s="494"/>
      <c r="F531" s="492"/>
    </row>
    <row r="532" spans="1:6" x14ac:dyDescent="0.25">
      <c r="A532" s="391" t="s">
        <v>321</v>
      </c>
      <c r="B532" s="491" t="s">
        <v>76</v>
      </c>
      <c r="C532" s="479">
        <v>156</v>
      </c>
      <c r="D532" s="493" t="s">
        <v>0</v>
      </c>
      <c r="E532" s="494">
        <v>2840</v>
      </c>
      <c r="F532" s="492">
        <f>C532*E532</f>
        <v>443040</v>
      </c>
    </row>
    <row r="533" spans="1:6" ht="27.6" x14ac:dyDescent="0.25">
      <c r="A533" s="391"/>
      <c r="B533" s="491" t="s">
        <v>595</v>
      </c>
      <c r="C533" s="479"/>
      <c r="D533" s="493"/>
      <c r="E533" s="494"/>
      <c r="F533" s="492"/>
    </row>
    <row r="534" spans="1:6" ht="27.6" x14ac:dyDescent="0.25">
      <c r="A534" s="391"/>
      <c r="B534" s="491" t="s">
        <v>77</v>
      </c>
      <c r="C534" s="479"/>
      <c r="D534" s="493"/>
      <c r="E534" s="385"/>
      <c r="F534" s="495"/>
    </row>
    <row r="535" spans="1:6" x14ac:dyDescent="0.25">
      <c r="A535" s="391"/>
      <c r="B535" s="491"/>
      <c r="C535" s="479"/>
      <c r="D535" s="493"/>
      <c r="E535" s="385"/>
      <c r="F535" s="495"/>
    </row>
    <row r="536" spans="1:6" ht="69" x14ac:dyDescent="0.25">
      <c r="A536" s="391" t="s">
        <v>322</v>
      </c>
      <c r="B536" s="491" t="s">
        <v>596</v>
      </c>
      <c r="C536" s="479">
        <v>17</v>
      </c>
      <c r="D536" s="493" t="s">
        <v>0</v>
      </c>
      <c r="E536" s="385">
        <v>6215</v>
      </c>
      <c r="F536" s="495">
        <f>C536*E536</f>
        <v>105655</v>
      </c>
    </row>
    <row r="537" spans="1:6" x14ac:dyDescent="0.25">
      <c r="A537" s="391"/>
      <c r="B537" s="491"/>
      <c r="C537" s="479"/>
      <c r="D537" s="493"/>
      <c r="E537" s="385"/>
      <c r="F537" s="495"/>
    </row>
    <row r="538" spans="1:6" ht="73.95" customHeight="1" x14ac:dyDescent="0.25">
      <c r="A538" s="391" t="s">
        <v>323</v>
      </c>
      <c r="B538" s="491" t="s">
        <v>597</v>
      </c>
      <c r="C538" s="479">
        <v>156</v>
      </c>
      <c r="D538" s="493" t="s">
        <v>0</v>
      </c>
      <c r="E538" s="385">
        <v>6580</v>
      </c>
      <c r="F538" s="495">
        <f>C538*E538</f>
        <v>1026480</v>
      </c>
    </row>
    <row r="539" spans="1:6" x14ac:dyDescent="0.25">
      <c r="A539" s="391"/>
      <c r="B539" s="392"/>
      <c r="C539" s="496"/>
      <c r="D539" s="493"/>
      <c r="E539" s="385"/>
      <c r="F539" s="495"/>
    </row>
    <row r="540" spans="1:6" x14ac:dyDescent="0.25">
      <c r="A540" s="391" t="s">
        <v>324</v>
      </c>
      <c r="B540" s="497" t="s">
        <v>598</v>
      </c>
      <c r="C540" s="496">
        <v>18</v>
      </c>
      <c r="D540" s="493" t="s">
        <v>0</v>
      </c>
      <c r="E540" s="385">
        <v>2300</v>
      </c>
      <c r="F540" s="495">
        <f>C540*E540</f>
        <v>41400</v>
      </c>
    </row>
    <row r="541" spans="1:6" x14ac:dyDescent="0.25">
      <c r="A541" s="391"/>
      <c r="B541" s="497" t="s">
        <v>599</v>
      </c>
      <c r="C541" s="496"/>
      <c r="D541" s="493"/>
      <c r="E541" s="385"/>
      <c r="F541" s="495"/>
    </row>
    <row r="542" spans="1:6" x14ac:dyDescent="0.25">
      <c r="A542" s="391" t="s">
        <v>325</v>
      </c>
      <c r="B542" s="392" t="s">
        <v>600</v>
      </c>
      <c r="C542" s="496">
        <v>2</v>
      </c>
      <c r="D542" s="493" t="s">
        <v>0</v>
      </c>
      <c r="E542" s="385">
        <v>5600</v>
      </c>
      <c r="F542" s="495">
        <f>C542*E542</f>
        <v>11200</v>
      </c>
    </row>
    <row r="543" spans="1:6" x14ac:dyDescent="0.25">
      <c r="A543" s="391"/>
      <c r="B543" s="392" t="s">
        <v>601</v>
      </c>
      <c r="C543" s="496"/>
      <c r="D543" s="493"/>
      <c r="E543" s="385"/>
      <c r="F543" s="495"/>
    </row>
    <row r="544" spans="1:6" ht="41.4" x14ac:dyDescent="0.25">
      <c r="A544" s="391" t="s">
        <v>326</v>
      </c>
      <c r="B544" s="392" t="s">
        <v>602</v>
      </c>
      <c r="C544" s="496">
        <v>69</v>
      </c>
      <c r="D544" s="493" t="s">
        <v>0</v>
      </c>
      <c r="E544" s="385">
        <v>3625</v>
      </c>
      <c r="F544" s="495">
        <f>C544*E544</f>
        <v>250125</v>
      </c>
    </row>
    <row r="545" spans="1:8" x14ac:dyDescent="0.25">
      <c r="A545" s="391"/>
      <c r="B545" s="392"/>
      <c r="C545" s="496"/>
      <c r="D545" s="493"/>
      <c r="E545" s="385"/>
      <c r="F545" s="386"/>
    </row>
    <row r="546" spans="1:8" x14ac:dyDescent="0.25">
      <c r="A546" s="391" t="s">
        <v>327</v>
      </c>
      <c r="B546" s="498" t="s">
        <v>603</v>
      </c>
      <c r="C546" s="496">
        <v>25</v>
      </c>
      <c r="D546" s="493" t="s">
        <v>0</v>
      </c>
      <c r="E546" s="385">
        <v>6380</v>
      </c>
      <c r="F546" s="386">
        <f>C546*E546</f>
        <v>159500</v>
      </c>
    </row>
    <row r="547" spans="1:8" x14ac:dyDescent="0.25">
      <c r="A547" s="391"/>
      <c r="B547" s="392"/>
      <c r="C547" s="496"/>
      <c r="D547" s="493"/>
      <c r="E547" s="385"/>
      <c r="F547" s="386"/>
    </row>
    <row r="548" spans="1:8" x14ac:dyDescent="0.25">
      <c r="A548" s="391"/>
      <c r="B548" s="392" t="s">
        <v>106</v>
      </c>
      <c r="C548" s="496"/>
      <c r="D548" s="493"/>
      <c r="E548" s="385"/>
      <c r="F548" s="386"/>
    </row>
    <row r="549" spans="1:8" ht="82.8" x14ac:dyDescent="0.25">
      <c r="A549" s="391" t="s">
        <v>328</v>
      </c>
      <c r="B549" s="392" t="s">
        <v>604</v>
      </c>
      <c r="C549" s="496">
        <v>1</v>
      </c>
      <c r="D549" s="493" t="s">
        <v>13</v>
      </c>
      <c r="E549" s="385">
        <v>4730</v>
      </c>
      <c r="F549" s="386">
        <f>C549*E549</f>
        <v>4730</v>
      </c>
    </row>
    <row r="550" spans="1:8" ht="41.4" x14ac:dyDescent="0.25">
      <c r="A550" s="391" t="s">
        <v>681</v>
      </c>
      <c r="B550" s="499" t="s">
        <v>682</v>
      </c>
      <c r="C550" s="496">
        <v>1</v>
      </c>
      <c r="D550" s="493" t="s">
        <v>13</v>
      </c>
      <c r="E550" s="385"/>
      <c r="F550" s="386"/>
    </row>
    <row r="551" spans="1:8" x14ac:dyDescent="0.25">
      <c r="A551" s="391"/>
      <c r="B551" s="392"/>
      <c r="C551" s="496"/>
      <c r="D551" s="493"/>
      <c r="E551" s="385"/>
      <c r="F551" s="386"/>
    </row>
    <row r="552" spans="1:8" x14ac:dyDescent="0.25">
      <c r="A552" s="391"/>
      <c r="B552" s="392"/>
      <c r="C552" s="496"/>
      <c r="D552" s="493"/>
      <c r="E552" s="385"/>
      <c r="F552" s="386"/>
    </row>
    <row r="553" spans="1:8" s="387" customFormat="1" x14ac:dyDescent="0.25">
      <c r="A553" s="409"/>
      <c r="B553" s="410" t="s">
        <v>46</v>
      </c>
      <c r="C553" s="500"/>
      <c r="D553" s="501"/>
      <c r="E553" s="413"/>
      <c r="F553" s="414">
        <f>SUM(F515:F549)</f>
        <v>2588464</v>
      </c>
      <c r="H553" s="388"/>
    </row>
    <row r="554" spans="1:8" x14ac:dyDescent="0.25">
      <c r="A554" s="391"/>
      <c r="B554" s="502" t="s">
        <v>330</v>
      </c>
      <c r="C554" s="496"/>
      <c r="D554" s="493"/>
      <c r="E554" s="385"/>
      <c r="F554" s="386"/>
    </row>
    <row r="555" spans="1:8" x14ac:dyDescent="0.25">
      <c r="A555" s="391"/>
      <c r="B555" s="392"/>
      <c r="C555" s="496"/>
      <c r="D555" s="493"/>
      <c r="E555" s="385"/>
      <c r="F555" s="386"/>
    </row>
    <row r="556" spans="1:8" ht="41.4" x14ac:dyDescent="0.25">
      <c r="A556" s="391" t="s">
        <v>331</v>
      </c>
      <c r="B556" s="392" t="s">
        <v>119</v>
      </c>
      <c r="C556" s="496">
        <v>20.11</v>
      </c>
      <c r="D556" s="493" t="s">
        <v>101</v>
      </c>
      <c r="E556" s="385">
        <v>5904</v>
      </c>
      <c r="F556" s="386">
        <f>C556*E556</f>
        <v>118729.44</v>
      </c>
    </row>
    <row r="557" spans="1:8" ht="41.4" x14ac:dyDescent="0.25">
      <c r="A557" s="391" t="s">
        <v>332</v>
      </c>
      <c r="B557" s="392" t="s">
        <v>121</v>
      </c>
      <c r="C557" s="496">
        <v>49.46</v>
      </c>
      <c r="D557" s="493" t="s">
        <v>101</v>
      </c>
      <c r="E557" s="385">
        <v>8528</v>
      </c>
      <c r="F557" s="386">
        <f>C557*E557</f>
        <v>421794.88</v>
      </c>
    </row>
    <row r="558" spans="1:8" ht="41.4" x14ac:dyDescent="0.25">
      <c r="A558" s="391" t="s">
        <v>333</v>
      </c>
      <c r="B558" s="392" t="s">
        <v>120</v>
      </c>
      <c r="C558" s="496">
        <v>49.46</v>
      </c>
      <c r="D558" s="493" t="s">
        <v>101</v>
      </c>
      <c r="E558" s="385">
        <v>7134</v>
      </c>
      <c r="F558" s="386">
        <f>C558*E558</f>
        <v>352847.64</v>
      </c>
    </row>
    <row r="559" spans="1:8" x14ac:dyDescent="0.25">
      <c r="A559" s="391"/>
      <c r="B559" s="392"/>
      <c r="C559" s="496"/>
      <c r="D559" s="493"/>
      <c r="E559" s="385"/>
      <c r="F559" s="386"/>
    </row>
    <row r="560" spans="1:8" x14ac:dyDescent="0.25">
      <c r="A560" s="391"/>
      <c r="B560" s="392"/>
      <c r="C560" s="496"/>
      <c r="D560" s="493"/>
      <c r="E560" s="385"/>
      <c r="F560" s="386"/>
    </row>
    <row r="561" spans="1:8" x14ac:dyDescent="0.25">
      <c r="A561" s="391"/>
      <c r="B561" s="392"/>
      <c r="C561" s="496"/>
      <c r="D561" s="493"/>
      <c r="E561" s="385"/>
      <c r="F561" s="386"/>
    </row>
    <row r="562" spans="1:8" x14ac:dyDescent="0.25">
      <c r="A562" s="391"/>
      <c r="B562" s="392"/>
      <c r="C562" s="496"/>
      <c r="D562" s="493"/>
      <c r="E562" s="385"/>
      <c r="F562" s="386"/>
    </row>
    <row r="563" spans="1:8" s="387" customFormat="1" x14ac:dyDescent="0.25">
      <c r="A563" s="409"/>
      <c r="B563" s="410" t="s">
        <v>46</v>
      </c>
      <c r="C563" s="500"/>
      <c r="D563" s="501"/>
      <c r="E563" s="413"/>
      <c r="F563" s="414">
        <f>SUM(F556:F560)</f>
        <v>893371.96000000008</v>
      </c>
      <c r="H563" s="388"/>
    </row>
    <row r="565" spans="1:8" ht="14.4" thickBot="1" x14ac:dyDescent="0.3"/>
    <row r="566" spans="1:8" s="506" customFormat="1" thickBot="1" x14ac:dyDescent="0.3">
      <c r="A566" s="2768" t="s">
        <v>80</v>
      </c>
      <c r="B566" s="2769"/>
      <c r="C566" s="2769"/>
      <c r="D566" s="2769"/>
      <c r="E566" s="2769"/>
      <c r="F566" s="2770"/>
      <c r="H566" s="507"/>
    </row>
    <row r="567" spans="1:8" s="506" customFormat="1" thickBot="1" x14ac:dyDescent="0.3">
      <c r="A567" s="508"/>
      <c r="B567" s="509"/>
      <c r="C567" s="509"/>
      <c r="D567" s="509"/>
      <c r="E567" s="510"/>
      <c r="F567" s="511"/>
      <c r="H567" s="507"/>
    </row>
    <row r="568" spans="1:8" s="506" customFormat="1" thickBot="1" x14ac:dyDescent="0.3">
      <c r="A568" s="512" t="s">
        <v>0</v>
      </c>
      <c r="B568" s="513" t="s">
        <v>1</v>
      </c>
      <c r="C568" s="514" t="s">
        <v>2</v>
      </c>
      <c r="D568" s="515" t="s">
        <v>3</v>
      </c>
      <c r="E568" s="516" t="s">
        <v>4</v>
      </c>
      <c r="F568" s="114" t="s">
        <v>5</v>
      </c>
      <c r="H568" s="507"/>
    </row>
    <row r="569" spans="1:8" s="506" customFormat="1" ht="13.2" x14ac:dyDescent="0.25">
      <c r="A569" s="517"/>
      <c r="B569" s="518"/>
      <c r="C569" s="519"/>
      <c r="D569" s="520"/>
      <c r="E569" s="521"/>
      <c r="F569" s="119"/>
      <c r="H569" s="507"/>
    </row>
    <row r="570" spans="1:8" s="506" customFormat="1" x14ac:dyDescent="0.25">
      <c r="A570" s="522" t="s">
        <v>127</v>
      </c>
      <c r="B570" s="523" t="s">
        <v>81</v>
      </c>
      <c r="C570" s="120"/>
      <c r="D570" s="524"/>
      <c r="E570" s="525"/>
      <c r="F570" s="159">
        <f>+F82</f>
        <v>394394.2</v>
      </c>
      <c r="H570" s="507"/>
    </row>
    <row r="571" spans="1:8" s="506" customFormat="1" x14ac:dyDescent="0.25">
      <c r="A571" s="522" t="s">
        <v>555</v>
      </c>
      <c r="B571" s="523" t="s">
        <v>571</v>
      </c>
      <c r="C571" s="120"/>
      <c r="D571" s="524"/>
      <c r="E571" s="525"/>
      <c r="F571" s="159">
        <f>+F135</f>
        <v>4209405.1300000008</v>
      </c>
      <c r="H571" s="507"/>
    </row>
    <row r="572" spans="1:8" s="506" customFormat="1" x14ac:dyDescent="0.25">
      <c r="A572" s="526" t="s">
        <v>556</v>
      </c>
      <c r="B572" s="527" t="s">
        <v>572</v>
      </c>
      <c r="C572" s="124"/>
      <c r="D572" s="528"/>
      <c r="E572" s="529"/>
      <c r="F572" s="160">
        <f>+F178</f>
        <v>2208487.1814999995</v>
      </c>
      <c r="H572" s="507"/>
    </row>
    <row r="573" spans="1:8" s="506" customFormat="1" x14ac:dyDescent="0.25">
      <c r="A573" s="526" t="s">
        <v>557</v>
      </c>
      <c r="B573" s="527" t="s">
        <v>573</v>
      </c>
      <c r="C573" s="124"/>
      <c r="D573" s="528"/>
      <c r="E573" s="529"/>
      <c r="F573" s="160">
        <f>+F230</f>
        <v>4208600</v>
      </c>
      <c r="H573" s="507"/>
    </row>
    <row r="574" spans="1:8" s="506" customFormat="1" x14ac:dyDescent="0.25">
      <c r="A574" s="526" t="s">
        <v>558</v>
      </c>
      <c r="B574" s="527" t="s">
        <v>574</v>
      </c>
      <c r="C574" s="124"/>
      <c r="D574" s="528"/>
      <c r="E574" s="529"/>
      <c r="F574" s="160">
        <f>+F237</f>
        <v>4357971</v>
      </c>
      <c r="H574" s="507"/>
    </row>
    <row r="575" spans="1:8" s="506" customFormat="1" x14ac:dyDescent="0.25">
      <c r="A575" s="526" t="s">
        <v>559</v>
      </c>
      <c r="B575" s="527" t="s">
        <v>575</v>
      </c>
      <c r="C575" s="124"/>
      <c r="D575" s="528"/>
      <c r="E575" s="529"/>
      <c r="F575" s="160">
        <f>+F254</f>
        <v>1081767.5450000002</v>
      </c>
      <c r="H575" s="507"/>
    </row>
    <row r="576" spans="1:8" s="506" customFormat="1" x14ac:dyDescent="0.25">
      <c r="A576" s="526" t="s">
        <v>560</v>
      </c>
      <c r="B576" s="527" t="s">
        <v>576</v>
      </c>
      <c r="C576" s="124"/>
      <c r="D576" s="528"/>
      <c r="E576" s="529"/>
      <c r="F576" s="160">
        <f>+F259</f>
        <v>159907.80000000002</v>
      </c>
      <c r="H576" s="507"/>
    </row>
    <row r="577" spans="1:8" s="506" customFormat="1" x14ac:dyDescent="0.25">
      <c r="A577" s="526" t="s">
        <v>561</v>
      </c>
      <c r="B577" s="527" t="s">
        <v>577</v>
      </c>
      <c r="C577" s="124"/>
      <c r="D577" s="528"/>
      <c r="E577" s="529"/>
      <c r="F577" s="160">
        <f>+F274</f>
        <v>411105.68</v>
      </c>
      <c r="H577" s="507"/>
    </row>
    <row r="578" spans="1:8" s="506" customFormat="1" x14ac:dyDescent="0.25">
      <c r="A578" s="526" t="s">
        <v>562</v>
      </c>
      <c r="B578" s="527" t="s">
        <v>578</v>
      </c>
      <c r="C578" s="124"/>
      <c r="D578" s="528"/>
      <c r="E578" s="529"/>
      <c r="F578" s="160">
        <f>+F303</f>
        <v>2555396.6779439999</v>
      </c>
      <c r="H578" s="507"/>
    </row>
    <row r="579" spans="1:8" s="506" customFormat="1" x14ac:dyDescent="0.25">
      <c r="A579" s="526" t="s">
        <v>563</v>
      </c>
      <c r="B579" s="527" t="s">
        <v>579</v>
      </c>
      <c r="C579" s="124"/>
      <c r="D579" s="528"/>
      <c r="E579" s="529"/>
      <c r="F579" s="160">
        <f>+F328</f>
        <v>3962269.7057503997</v>
      </c>
      <c r="H579" s="507"/>
    </row>
    <row r="580" spans="1:8" s="506" customFormat="1" x14ac:dyDescent="0.25">
      <c r="A580" s="526" t="s">
        <v>564</v>
      </c>
      <c r="B580" s="527" t="s">
        <v>580</v>
      </c>
      <c r="C580" s="124"/>
      <c r="D580" s="528"/>
      <c r="E580" s="529"/>
      <c r="F580" s="160">
        <f>+F359</f>
        <v>1623167.4371643998</v>
      </c>
      <c r="H580" s="507"/>
    </row>
    <row r="581" spans="1:8" s="506" customFormat="1" x14ac:dyDescent="0.25">
      <c r="A581" s="526" t="s">
        <v>329</v>
      </c>
      <c r="B581" s="527" t="s">
        <v>581</v>
      </c>
      <c r="C581" s="124"/>
      <c r="D581" s="528"/>
      <c r="E581" s="529"/>
      <c r="F581" s="160">
        <f>+F375</f>
        <v>2739870.5774999997</v>
      </c>
      <c r="H581" s="507"/>
    </row>
    <row r="582" spans="1:8" s="506" customFormat="1" x14ac:dyDescent="0.25">
      <c r="A582" s="526" t="s">
        <v>565</v>
      </c>
      <c r="B582" s="527" t="s">
        <v>582</v>
      </c>
      <c r="C582" s="124"/>
      <c r="D582" s="528"/>
      <c r="E582" s="529"/>
      <c r="F582" s="160">
        <f>+F386</f>
        <v>339662</v>
      </c>
      <c r="H582" s="507"/>
    </row>
    <row r="583" spans="1:8" s="506" customFormat="1" x14ac:dyDescent="0.25">
      <c r="A583" s="526" t="s">
        <v>566</v>
      </c>
      <c r="B583" s="527" t="s">
        <v>583</v>
      </c>
      <c r="C583" s="124"/>
      <c r="D583" s="528"/>
      <c r="E583" s="529"/>
      <c r="F583" s="160">
        <f>+F405</f>
        <v>423975</v>
      </c>
      <c r="H583" s="507"/>
    </row>
    <row r="584" spans="1:8" s="506" customFormat="1" x14ac:dyDescent="0.25">
      <c r="A584" s="526" t="s">
        <v>567</v>
      </c>
      <c r="B584" s="527" t="s">
        <v>584</v>
      </c>
      <c r="C584" s="124"/>
      <c r="D584" s="528"/>
      <c r="E584" s="529"/>
      <c r="F584" s="160">
        <f>+F435</f>
        <v>398361</v>
      </c>
      <c r="H584" s="507"/>
    </row>
    <row r="585" spans="1:8" s="506" customFormat="1" x14ac:dyDescent="0.25">
      <c r="A585" s="526" t="s">
        <v>568</v>
      </c>
      <c r="B585" s="527" t="s">
        <v>585</v>
      </c>
      <c r="C585" s="124"/>
      <c r="D585" s="528"/>
      <c r="E585" s="529"/>
      <c r="F585" s="160">
        <f>+F452</f>
        <v>287073</v>
      </c>
      <c r="H585" s="507"/>
    </row>
    <row r="586" spans="1:8" s="506" customFormat="1" x14ac:dyDescent="0.25">
      <c r="A586" s="526" t="s">
        <v>569</v>
      </c>
      <c r="B586" s="527" t="s">
        <v>586</v>
      </c>
      <c r="C586" s="124"/>
      <c r="D586" s="528"/>
      <c r="E586" s="529"/>
      <c r="F586" s="160">
        <f>+F553</f>
        <v>2588464</v>
      </c>
      <c r="H586" s="507"/>
    </row>
    <row r="587" spans="1:8" s="506" customFormat="1" x14ac:dyDescent="0.25">
      <c r="A587" s="526" t="s">
        <v>570</v>
      </c>
      <c r="B587" s="527" t="s">
        <v>60</v>
      </c>
      <c r="C587" s="124"/>
      <c r="D587" s="528"/>
      <c r="E587" s="529"/>
      <c r="F587" s="160">
        <f>+F563</f>
        <v>893371.96000000008</v>
      </c>
      <c r="H587" s="507"/>
    </row>
    <row r="588" spans="1:8" s="506" customFormat="1" ht="14.4" thickBot="1" x14ac:dyDescent="0.3">
      <c r="A588" s="526"/>
      <c r="B588" s="527"/>
      <c r="C588" s="124"/>
      <c r="D588" s="528"/>
      <c r="E588" s="529"/>
      <c r="F588" s="160"/>
      <c r="H588" s="507"/>
    </row>
    <row r="589" spans="1:8" s="506" customFormat="1" thickBot="1" x14ac:dyDescent="0.3">
      <c r="A589" s="530"/>
      <c r="B589" s="531" t="s">
        <v>45</v>
      </c>
      <c r="C589" s="128"/>
      <c r="D589" s="532"/>
      <c r="E589" s="533"/>
      <c r="F589" s="130">
        <f>SUM(F570:F588)</f>
        <v>32843249.894858804</v>
      </c>
      <c r="H589" s="507"/>
    </row>
    <row r="590" spans="1:8" s="506" customFormat="1" thickBot="1" x14ac:dyDescent="0.3">
      <c r="A590" s="534"/>
      <c r="B590" s="535"/>
      <c r="C590" s="536"/>
      <c r="D590" s="537"/>
      <c r="E590" s="538"/>
      <c r="F590" s="537"/>
      <c r="H590" s="507"/>
    </row>
    <row r="591" spans="1:8" x14ac:dyDescent="0.25">
      <c r="A591" s="539">
        <v>3</v>
      </c>
      <c r="B591" s="540" t="s">
        <v>105</v>
      </c>
      <c r="C591" s="167"/>
      <c r="D591" s="541"/>
      <c r="E591" s="542"/>
      <c r="F591" s="167"/>
    </row>
    <row r="592" spans="1:8" x14ac:dyDescent="0.25">
      <c r="A592" s="349"/>
      <c r="B592" s="543"/>
      <c r="C592" s="157"/>
      <c r="D592" s="544"/>
      <c r="E592" s="545"/>
      <c r="F592" s="157"/>
    </row>
    <row r="593" spans="1:8" x14ac:dyDescent="0.25">
      <c r="A593" s="353"/>
      <c r="B593" s="546"/>
      <c r="C593" s="171"/>
      <c r="D593" s="547"/>
      <c r="E593" s="548"/>
      <c r="F593" s="173"/>
    </row>
    <row r="594" spans="1:8" x14ac:dyDescent="0.25">
      <c r="A594" s="353" t="s">
        <v>82</v>
      </c>
      <c r="B594" s="549" t="s">
        <v>84</v>
      </c>
      <c r="C594" s="175">
        <v>1</v>
      </c>
      <c r="D594" s="550" t="s">
        <v>13</v>
      </c>
      <c r="E594" s="551">
        <v>200000</v>
      </c>
      <c r="F594" s="177">
        <f>C594*E594</f>
        <v>200000</v>
      </c>
    </row>
    <row r="595" spans="1:8" x14ac:dyDescent="0.25">
      <c r="A595" s="343"/>
      <c r="B595" s="552"/>
      <c r="C595" s="157"/>
      <c r="D595" s="544"/>
      <c r="E595" s="553"/>
      <c r="F595" s="159"/>
    </row>
    <row r="596" spans="1:8" ht="14.4" thickBot="1" x14ac:dyDescent="0.3">
      <c r="A596" s="361"/>
      <c r="B596" s="554" t="s">
        <v>45</v>
      </c>
      <c r="C596" s="179"/>
      <c r="D596" s="555"/>
      <c r="E596" s="556"/>
      <c r="F596" s="181">
        <f>SUM(F594:F595)</f>
        <v>200000</v>
      </c>
    </row>
    <row r="597" spans="1:8" x14ac:dyDescent="0.25">
      <c r="A597" s="557"/>
      <c r="B597" s="558"/>
      <c r="C597" s="559"/>
      <c r="D597" s="560"/>
      <c r="E597" s="561"/>
      <c r="F597" s="560"/>
    </row>
    <row r="598" spans="1:8" s="506" customFormat="1" ht="13.2" x14ac:dyDescent="0.25">
      <c r="A598" s="534"/>
      <c r="B598" s="535"/>
      <c r="C598" s="536"/>
      <c r="D598" s="537"/>
      <c r="E598" s="538"/>
      <c r="F598" s="537"/>
      <c r="H598" s="507"/>
    </row>
    <row r="599" spans="1:8" s="506" customFormat="1" thickBot="1" x14ac:dyDescent="0.3">
      <c r="A599" s="534"/>
      <c r="B599" s="535"/>
      <c r="C599" s="536"/>
      <c r="D599" s="537"/>
      <c r="E599" s="538"/>
      <c r="F599" s="537"/>
      <c r="H599" s="507"/>
    </row>
    <row r="600" spans="1:8" s="506" customFormat="1" thickBot="1" x14ac:dyDescent="0.3">
      <c r="A600" s="2771"/>
      <c r="B600" s="2772"/>
      <c r="C600" s="2772"/>
      <c r="D600" s="2772"/>
      <c r="E600" s="2772"/>
      <c r="F600" s="2773"/>
      <c r="H600" s="507"/>
    </row>
    <row r="601" spans="1:8" s="506" customFormat="1" thickBot="1" x14ac:dyDescent="0.3">
      <c r="A601" s="2768" t="s">
        <v>85</v>
      </c>
      <c r="B601" s="2769"/>
      <c r="C601" s="2769"/>
      <c r="D601" s="2769"/>
      <c r="E601" s="2769"/>
      <c r="F601" s="2770"/>
      <c r="H601" s="507"/>
    </row>
    <row r="602" spans="1:8" s="506" customFormat="1" thickBot="1" x14ac:dyDescent="0.3">
      <c r="A602" s="562"/>
      <c r="B602" s="563"/>
      <c r="C602" s="137"/>
      <c r="D602" s="564"/>
      <c r="E602" s="565"/>
      <c r="F602" s="139"/>
      <c r="H602" s="507"/>
    </row>
    <row r="603" spans="1:8" s="506" customFormat="1" thickBot="1" x14ac:dyDescent="0.3">
      <c r="A603" s="512" t="s">
        <v>86</v>
      </c>
      <c r="B603" s="513" t="s">
        <v>1</v>
      </c>
      <c r="C603" s="514" t="s">
        <v>2</v>
      </c>
      <c r="D603" s="515" t="s">
        <v>3</v>
      </c>
      <c r="E603" s="516" t="s">
        <v>4</v>
      </c>
      <c r="F603" s="114" t="s">
        <v>5</v>
      </c>
      <c r="H603" s="507"/>
    </row>
    <row r="604" spans="1:8" s="506" customFormat="1" ht="13.2" x14ac:dyDescent="0.25">
      <c r="A604" s="522"/>
      <c r="B604" s="523"/>
      <c r="C604" s="10"/>
      <c r="D604" s="524"/>
      <c r="E604" s="525"/>
      <c r="F604" s="11"/>
      <c r="H604" s="507"/>
    </row>
    <row r="605" spans="1:8" s="506" customFormat="1" ht="13.2" x14ac:dyDescent="0.25">
      <c r="A605" s="522"/>
      <c r="B605" s="523"/>
      <c r="C605" s="120"/>
      <c r="D605" s="524"/>
      <c r="E605" s="525"/>
      <c r="F605" s="121"/>
      <c r="H605" s="507"/>
    </row>
    <row r="606" spans="1:8" s="506" customFormat="1" ht="13.2" x14ac:dyDescent="0.25">
      <c r="A606" s="526" t="s">
        <v>87</v>
      </c>
      <c r="B606" s="566" t="s">
        <v>8</v>
      </c>
      <c r="C606" s="124"/>
      <c r="D606" s="528" t="s">
        <v>83</v>
      </c>
      <c r="E606" s="529"/>
      <c r="F606" s="141">
        <f>+F55</f>
        <v>2870000</v>
      </c>
      <c r="H606" s="507"/>
    </row>
    <row r="607" spans="1:8" s="506" customFormat="1" ht="13.2" x14ac:dyDescent="0.25">
      <c r="A607" s="526"/>
      <c r="B607" s="527"/>
      <c r="C607" s="124"/>
      <c r="D607" s="528"/>
      <c r="E607" s="529"/>
      <c r="F607" s="141"/>
      <c r="H607" s="507"/>
    </row>
    <row r="608" spans="1:8" s="506" customFormat="1" ht="13.2" x14ac:dyDescent="0.25">
      <c r="A608" s="526" t="s">
        <v>88</v>
      </c>
      <c r="B608" s="566" t="s">
        <v>89</v>
      </c>
      <c r="C608" s="124"/>
      <c r="D608" s="528" t="s">
        <v>83</v>
      </c>
      <c r="E608" s="529"/>
      <c r="F608" s="141">
        <f>F589</f>
        <v>32843249.894858804</v>
      </c>
      <c r="H608" s="507"/>
    </row>
    <row r="609" spans="1:8" s="506" customFormat="1" ht="13.2" x14ac:dyDescent="0.25">
      <c r="A609" s="526"/>
      <c r="B609" s="527"/>
      <c r="C609" s="124"/>
      <c r="D609" s="528"/>
      <c r="E609" s="529"/>
      <c r="F609" s="141"/>
      <c r="H609" s="507"/>
    </row>
    <row r="610" spans="1:8" s="506" customFormat="1" ht="13.2" x14ac:dyDescent="0.25">
      <c r="A610" s="567"/>
      <c r="B610" s="568" t="s">
        <v>90</v>
      </c>
      <c r="C610" s="144"/>
      <c r="D610" s="528" t="s">
        <v>83</v>
      </c>
      <c r="E610" s="529"/>
      <c r="F610" s="145">
        <f>SUM(F606:F609)</f>
        <v>35713249.894858807</v>
      </c>
      <c r="H610" s="507"/>
    </row>
    <row r="611" spans="1:8" s="506" customFormat="1" ht="13.2" x14ac:dyDescent="0.25">
      <c r="A611" s="567"/>
      <c r="B611" s="569"/>
      <c r="C611" s="144"/>
      <c r="D611" s="528"/>
      <c r="E611" s="529"/>
      <c r="F611" s="145"/>
      <c r="H611" s="507"/>
    </row>
    <row r="612" spans="1:8" s="506" customFormat="1" ht="13.2" x14ac:dyDescent="0.25">
      <c r="A612" s="567"/>
      <c r="B612" s="569" t="s">
        <v>91</v>
      </c>
      <c r="C612" s="144"/>
      <c r="D612" s="528" t="s">
        <v>83</v>
      </c>
      <c r="E612" s="529"/>
      <c r="F612" s="145"/>
      <c r="H612" s="507"/>
    </row>
    <row r="613" spans="1:8" s="506" customFormat="1" ht="13.2" x14ac:dyDescent="0.25">
      <c r="A613" s="567"/>
      <c r="B613" s="569"/>
      <c r="C613" s="144"/>
      <c r="D613" s="528"/>
      <c r="E613" s="529"/>
      <c r="F613" s="145"/>
      <c r="H613" s="507"/>
    </row>
    <row r="614" spans="1:8" s="506" customFormat="1" ht="13.2" x14ac:dyDescent="0.25">
      <c r="A614" s="567"/>
      <c r="B614" s="568" t="s">
        <v>92</v>
      </c>
      <c r="C614" s="144"/>
      <c r="D614" s="528" t="s">
        <v>83</v>
      </c>
      <c r="E614" s="529"/>
      <c r="F614" s="145"/>
      <c r="H614" s="507"/>
    </row>
    <row r="615" spans="1:8" s="506" customFormat="1" ht="13.2" x14ac:dyDescent="0.25">
      <c r="A615" s="567"/>
      <c r="B615" s="569"/>
      <c r="C615" s="144"/>
      <c r="D615" s="528"/>
      <c r="E615" s="529"/>
      <c r="F615" s="145"/>
      <c r="H615" s="507"/>
    </row>
    <row r="616" spans="1:8" s="506" customFormat="1" ht="13.2" x14ac:dyDescent="0.25">
      <c r="A616" s="526" t="s">
        <v>93</v>
      </c>
      <c r="B616" s="569" t="s">
        <v>94</v>
      </c>
      <c r="C616" s="144"/>
      <c r="D616" s="528" t="s">
        <v>83</v>
      </c>
      <c r="E616" s="529"/>
      <c r="F616" s="145">
        <f>F596</f>
        <v>200000</v>
      </c>
      <c r="H616" s="507"/>
    </row>
    <row r="617" spans="1:8" s="506" customFormat="1" ht="13.2" x14ac:dyDescent="0.25">
      <c r="A617" s="567"/>
      <c r="B617" s="569"/>
      <c r="C617" s="144"/>
      <c r="D617" s="528"/>
      <c r="E617" s="529"/>
      <c r="F617" s="145"/>
      <c r="H617" s="507"/>
    </row>
    <row r="618" spans="1:8" s="506" customFormat="1" ht="13.2" x14ac:dyDescent="0.25">
      <c r="A618" s="567"/>
      <c r="B618" s="568" t="s">
        <v>95</v>
      </c>
      <c r="C618" s="144"/>
      <c r="D618" s="528"/>
      <c r="E618" s="529"/>
      <c r="F618" s="145">
        <f>SUM(F610:F616)</f>
        <v>35913249.894858807</v>
      </c>
      <c r="H618" s="507"/>
    </row>
    <row r="619" spans="1:8" s="506" customFormat="1" ht="13.2" x14ac:dyDescent="0.25">
      <c r="A619" s="567"/>
      <c r="B619" s="569"/>
      <c r="C619" s="144"/>
      <c r="D619" s="528"/>
      <c r="E619" s="529"/>
      <c r="F619" s="145"/>
      <c r="H619" s="507"/>
    </row>
    <row r="620" spans="1:8" s="506" customFormat="1" ht="13.2" x14ac:dyDescent="0.25">
      <c r="A620" s="567"/>
      <c r="B620" s="569" t="s">
        <v>96</v>
      </c>
      <c r="C620" s="144"/>
      <c r="D620" s="528" t="s">
        <v>83</v>
      </c>
      <c r="E620" s="529"/>
      <c r="F620" s="147">
        <f>F618*0.1</f>
        <v>3591324.9894858808</v>
      </c>
      <c r="H620" s="507"/>
    </row>
    <row r="621" spans="1:8" s="506" customFormat="1" ht="13.2" x14ac:dyDescent="0.25">
      <c r="A621" s="567"/>
      <c r="B621" s="569"/>
      <c r="C621" s="144"/>
      <c r="D621" s="528"/>
      <c r="E621" s="529"/>
      <c r="F621" s="147"/>
      <c r="H621" s="507"/>
    </row>
    <row r="622" spans="1:8" s="506" customFormat="1" thickBot="1" x14ac:dyDescent="0.3">
      <c r="A622" s="570"/>
      <c r="B622" s="571" t="s">
        <v>97</v>
      </c>
      <c r="C622" s="150"/>
      <c r="D622" s="528" t="s">
        <v>83</v>
      </c>
      <c r="E622" s="525"/>
      <c r="F622" s="151">
        <f>SUM(F618:F620)</f>
        <v>39504574.88434469</v>
      </c>
      <c r="H622" s="507"/>
    </row>
    <row r="623" spans="1:8" s="506" customFormat="1" ht="14.4" thickTop="1" thickBot="1" x14ac:dyDescent="0.3">
      <c r="A623" s="572"/>
      <c r="B623" s="573"/>
      <c r="C623" s="154"/>
      <c r="D623" s="564"/>
      <c r="E623" s="565"/>
      <c r="F623" s="574"/>
      <c r="H623" s="507"/>
    </row>
    <row r="624" spans="1:8" s="506" customFormat="1" ht="13.2" x14ac:dyDescent="0.25">
      <c r="A624" s="534"/>
      <c r="B624" s="535"/>
      <c r="C624" s="536"/>
      <c r="D624" s="537"/>
      <c r="E624" s="538"/>
      <c r="F624" s="537"/>
      <c r="H624" s="507"/>
    </row>
    <row r="625" spans="1:8" s="506" customFormat="1" ht="13.2" x14ac:dyDescent="0.25">
      <c r="A625" s="575"/>
      <c r="B625" s="576"/>
      <c r="C625" s="577"/>
      <c r="D625" s="575"/>
      <c r="E625" s="578"/>
      <c r="F625" s="577"/>
      <c r="H625" s="507"/>
    </row>
    <row r="626" spans="1:8" s="506" customFormat="1" ht="13.2" x14ac:dyDescent="0.25">
      <c r="A626" s="575"/>
      <c r="B626" s="576"/>
      <c r="C626" s="577"/>
      <c r="D626" s="575"/>
      <c r="E626" s="578"/>
      <c r="F626" s="577"/>
      <c r="H626" s="507"/>
    </row>
  </sheetData>
  <mergeCells count="5">
    <mergeCell ref="A1:F1"/>
    <mergeCell ref="A2:F2"/>
    <mergeCell ref="A566:F566"/>
    <mergeCell ref="A600:F600"/>
    <mergeCell ref="A601:F601"/>
  </mergeCells>
  <pageMargins left="0.5" right="0.5" top="0.25" bottom="0.25" header="0.5" footer="0.5"/>
  <pageSetup orientation="portrait" verticalDpi="0" r:id="rId1"/>
  <headerFooter alignWithMargins="0">
    <oddFooter>&amp;C&amp;P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64"/>
  <sheetViews>
    <sheetView view="pageBreakPreview" topLeftCell="A58" zoomScaleNormal="85" zoomScaleSheetLayoutView="100" workbookViewId="0">
      <selection activeCell="A60" sqref="A60:F64"/>
    </sheetView>
  </sheetViews>
  <sheetFormatPr defaultColWidth="9.21875" defaultRowHeight="13.8" x14ac:dyDescent="0.25"/>
  <cols>
    <col min="1" max="1" width="5" style="38" bestFit="1" customWidth="1"/>
    <col min="2" max="2" width="55.33203125" style="36" customWidth="1"/>
    <col min="3" max="3" width="8.88671875" style="39" customWidth="1"/>
    <col min="4" max="4" width="6.33203125" style="38" customWidth="1"/>
    <col min="5" max="5" width="10.44140625" style="202" bestFit="1" customWidth="1"/>
    <col min="6" max="6" width="11.6640625" style="39" bestFit="1" customWidth="1"/>
    <col min="7" max="7" width="11.6640625" style="24" bestFit="1" customWidth="1"/>
    <col min="8" max="8" width="12.44140625" style="24" bestFit="1" customWidth="1"/>
    <col min="9" max="9" width="10" style="24" bestFit="1" customWidth="1"/>
    <col min="10" max="10" width="11" style="24" bestFit="1" customWidth="1"/>
    <col min="11" max="12" width="12.88671875" style="24" bestFit="1" customWidth="1"/>
    <col min="13" max="13" width="10.33203125" style="24" bestFit="1" customWidth="1"/>
    <col min="14" max="16384" width="9.21875" style="24"/>
  </cols>
  <sheetData>
    <row r="1" spans="1:6" s="31" customFormat="1" ht="14.4" thickBot="1" x14ac:dyDescent="0.3">
      <c r="A1" s="755" t="s">
        <v>0</v>
      </c>
      <c r="B1" s="756" t="s">
        <v>1</v>
      </c>
      <c r="C1" s="756" t="s">
        <v>2</v>
      </c>
      <c r="D1" s="757" t="s">
        <v>3</v>
      </c>
      <c r="E1" s="758" t="s">
        <v>4</v>
      </c>
      <c r="F1" s="759" t="s">
        <v>5</v>
      </c>
    </row>
    <row r="2" spans="1:6" x14ac:dyDescent="0.25">
      <c r="A2" s="732"/>
      <c r="B2" s="733" t="s">
        <v>1209</v>
      </c>
      <c r="C2" s="734"/>
      <c r="D2" s="735"/>
      <c r="E2" s="736"/>
      <c r="F2" s="737"/>
    </row>
    <row r="3" spans="1:6" x14ac:dyDescent="0.25">
      <c r="A3" s="738"/>
      <c r="B3" s="739" t="s">
        <v>982</v>
      </c>
      <c r="C3" s="740"/>
      <c r="D3" s="741"/>
      <c r="E3" s="742"/>
      <c r="F3" s="743"/>
    </row>
    <row r="4" spans="1:6" ht="27.6" x14ac:dyDescent="0.25">
      <c r="A4" s="226"/>
      <c r="B4" s="309" t="s">
        <v>1214</v>
      </c>
      <c r="C4" s="304"/>
      <c r="D4" s="251"/>
      <c r="E4" s="293"/>
      <c r="F4" s="299"/>
    </row>
    <row r="5" spans="1:6" x14ac:dyDescent="0.25">
      <c r="A5" s="226"/>
      <c r="B5" s="307"/>
      <c r="C5" s="304"/>
      <c r="D5" s="251"/>
      <c r="E5" s="293"/>
      <c r="F5" s="299"/>
    </row>
    <row r="6" spans="1:6" ht="82.8" x14ac:dyDescent="0.25">
      <c r="A6" s="226"/>
      <c r="B6" s="328" t="s">
        <v>984</v>
      </c>
      <c r="C6" s="304"/>
      <c r="D6" s="251"/>
      <c r="E6" s="293"/>
      <c r="F6" s="299"/>
    </row>
    <row r="7" spans="1:6" x14ac:dyDescent="0.25">
      <c r="A7" s="226"/>
      <c r="B7" s="307"/>
      <c r="C7" s="304"/>
      <c r="D7" s="251"/>
      <c r="E7" s="293"/>
      <c r="F7" s="299"/>
    </row>
    <row r="8" spans="1:6" x14ac:dyDescent="0.25">
      <c r="A8" s="226"/>
      <c r="B8" s="309" t="s">
        <v>983</v>
      </c>
      <c r="C8" s="304"/>
      <c r="D8" s="251"/>
      <c r="E8" s="293"/>
      <c r="F8" s="299"/>
    </row>
    <row r="9" spans="1:6" x14ac:dyDescent="0.25">
      <c r="A9" s="226"/>
      <c r="B9" s="309"/>
      <c r="C9" s="304"/>
      <c r="D9" s="251"/>
      <c r="E9" s="293"/>
      <c r="F9" s="299"/>
    </row>
    <row r="10" spans="1:6" ht="41.4" x14ac:dyDescent="0.25">
      <c r="A10" s="226"/>
      <c r="B10" s="309" t="s">
        <v>985</v>
      </c>
      <c r="C10" s="304"/>
      <c r="D10" s="251"/>
      <c r="E10" s="293"/>
      <c r="F10" s="299"/>
    </row>
    <row r="11" spans="1:6" x14ac:dyDescent="0.25">
      <c r="A11" s="226"/>
      <c r="B11" s="309" t="s">
        <v>1212</v>
      </c>
      <c r="C11" s="304"/>
      <c r="D11" s="251"/>
      <c r="E11" s="293"/>
      <c r="F11" s="299"/>
    </row>
    <row r="12" spans="1:6" x14ac:dyDescent="0.25">
      <c r="A12" s="226"/>
      <c r="B12" s="309" t="s">
        <v>986</v>
      </c>
      <c r="C12" s="304"/>
      <c r="D12" s="251"/>
      <c r="E12" s="293"/>
      <c r="F12" s="299"/>
    </row>
    <row r="13" spans="1:6" x14ac:dyDescent="0.25">
      <c r="A13" s="226"/>
      <c r="B13" s="309" t="s">
        <v>987</v>
      </c>
      <c r="C13" s="304"/>
      <c r="D13" s="251"/>
      <c r="E13" s="293"/>
      <c r="F13" s="299"/>
    </row>
    <row r="14" spans="1:6" ht="27.6" x14ac:dyDescent="0.25">
      <c r="A14" s="226"/>
      <c r="B14" s="326" t="s">
        <v>988</v>
      </c>
      <c r="C14" s="304"/>
      <c r="D14" s="251"/>
      <c r="E14" s="293"/>
      <c r="F14" s="299"/>
    </row>
    <row r="15" spans="1:6" x14ac:dyDescent="0.25">
      <c r="A15" s="226"/>
      <c r="B15" s="309" t="s">
        <v>989</v>
      </c>
      <c r="C15" s="304"/>
      <c r="D15" s="251"/>
      <c r="E15" s="293"/>
      <c r="F15" s="299"/>
    </row>
    <row r="16" spans="1:6" x14ac:dyDescent="0.25">
      <c r="A16" s="226"/>
      <c r="B16" s="309" t="s">
        <v>990</v>
      </c>
      <c r="C16" s="304"/>
      <c r="D16" s="251"/>
      <c r="E16" s="293"/>
      <c r="F16" s="299"/>
    </row>
    <row r="17" spans="1:11" x14ac:dyDescent="0.25">
      <c r="A17" s="226"/>
      <c r="B17" s="309" t="s">
        <v>991</v>
      </c>
      <c r="C17" s="304"/>
      <c r="D17" s="251"/>
      <c r="E17" s="293"/>
      <c r="F17" s="299"/>
    </row>
    <row r="18" spans="1:11" x14ac:dyDescent="0.25">
      <c r="A18" s="226"/>
      <c r="B18" s="309"/>
      <c r="C18" s="304"/>
      <c r="D18" s="251"/>
      <c r="E18" s="293"/>
      <c r="F18" s="299"/>
    </row>
    <row r="19" spans="1:11" ht="55.2" x14ac:dyDescent="0.25">
      <c r="A19" s="226" t="s">
        <v>549</v>
      </c>
      <c r="B19" s="307" t="s">
        <v>1315</v>
      </c>
      <c r="C19" s="304" t="e">
        <f>'m shet Miss premila'!#REF!</f>
        <v>#REF!</v>
      </c>
      <c r="D19" s="251" t="s">
        <v>141</v>
      </c>
      <c r="E19" s="293">
        <v>2359</v>
      </c>
      <c r="F19" s="299" t="e">
        <f>E19*C19</f>
        <v>#REF!</v>
      </c>
      <c r="G19" s="24">
        <f>(1.4*2.7)+(1.05*2.7)</f>
        <v>6.6150000000000002</v>
      </c>
      <c r="H19" s="24">
        <f>G19*4</f>
        <v>26.46</v>
      </c>
      <c r="I19" s="24">
        <f>H19*10.76</f>
        <v>284.70960000000002</v>
      </c>
    </row>
    <row r="20" spans="1:11" x14ac:dyDescent="0.25">
      <c r="A20" s="226"/>
      <c r="B20" s="307"/>
      <c r="C20" s="304"/>
      <c r="D20" s="251"/>
      <c r="E20" s="293"/>
      <c r="F20" s="299"/>
      <c r="K20" s="24">
        <f>2700/300</f>
        <v>9</v>
      </c>
    </row>
    <row r="21" spans="1:11" ht="27.6" x14ac:dyDescent="0.25">
      <c r="A21" s="226" t="s">
        <v>550</v>
      </c>
      <c r="B21" s="307" t="s">
        <v>1317</v>
      </c>
      <c r="C21" s="304" t="e">
        <f>'m shet Miss premila'!#REF!</f>
        <v>#REF!</v>
      </c>
      <c r="D21" s="251" t="s">
        <v>1208</v>
      </c>
      <c r="E21" s="293">
        <v>779</v>
      </c>
      <c r="F21" s="299" t="e">
        <f>E21*C21</f>
        <v>#REF!</v>
      </c>
    </row>
    <row r="22" spans="1:11" x14ac:dyDescent="0.25">
      <c r="A22" s="226"/>
      <c r="B22" s="307"/>
      <c r="C22" s="304"/>
      <c r="D22" s="251"/>
      <c r="E22" s="293"/>
      <c r="F22" s="299"/>
    </row>
    <row r="23" spans="1:11" ht="55.2" x14ac:dyDescent="0.25">
      <c r="A23" s="226" t="s">
        <v>551</v>
      </c>
      <c r="B23" s="307" t="s">
        <v>1316</v>
      </c>
      <c r="C23" s="304" t="e">
        <f>'m shet Miss premila'!#REF!</f>
        <v>#REF!</v>
      </c>
      <c r="D23" s="251" t="s">
        <v>141</v>
      </c>
      <c r="E23" s="293">
        <f>E19</f>
        <v>2359</v>
      </c>
      <c r="F23" s="299" t="e">
        <f>E23*C23</f>
        <v>#REF!</v>
      </c>
    </row>
    <row r="24" spans="1:11" x14ac:dyDescent="0.25">
      <c r="A24" s="226"/>
      <c r="B24" s="307"/>
      <c r="C24" s="304"/>
      <c r="D24" s="251"/>
      <c r="E24" s="293"/>
      <c r="F24" s="299"/>
    </row>
    <row r="25" spans="1:11" ht="27.6" x14ac:dyDescent="0.25">
      <c r="A25" s="226" t="s">
        <v>552</v>
      </c>
      <c r="B25" s="307" t="s">
        <v>1317</v>
      </c>
      <c r="C25" s="304" t="e">
        <f>'m shet Miss premila'!#REF!</f>
        <v>#REF!</v>
      </c>
      <c r="D25" s="251" t="s">
        <v>1208</v>
      </c>
      <c r="E25" s="293">
        <f>E21</f>
        <v>779</v>
      </c>
      <c r="F25" s="299" t="e">
        <f>E25*C25</f>
        <v>#REF!</v>
      </c>
    </row>
    <row r="26" spans="1:11" x14ac:dyDescent="0.25">
      <c r="A26" s="226"/>
      <c r="B26" s="307"/>
      <c r="C26" s="304"/>
      <c r="D26" s="251"/>
      <c r="E26" s="293"/>
      <c r="F26" s="299"/>
    </row>
    <row r="27" spans="1:11" x14ac:dyDescent="0.25">
      <c r="A27" s="226"/>
      <c r="B27" s="307"/>
      <c r="C27" s="304"/>
      <c r="D27" s="251"/>
      <c r="E27" s="293"/>
      <c r="F27" s="299"/>
    </row>
    <row r="28" spans="1:11" x14ac:dyDescent="0.25">
      <c r="A28" s="226"/>
      <c r="B28" s="309" t="s">
        <v>992</v>
      </c>
      <c r="C28" s="304"/>
      <c r="D28" s="251"/>
      <c r="E28" s="293"/>
      <c r="F28" s="299"/>
    </row>
    <row r="29" spans="1:11" x14ac:dyDescent="0.25">
      <c r="A29" s="226"/>
      <c r="B29" s="307" t="s">
        <v>175</v>
      </c>
      <c r="C29" s="304"/>
      <c r="D29" s="251"/>
      <c r="E29" s="293"/>
      <c r="F29" s="299"/>
    </row>
    <row r="30" spans="1:11" ht="27.6" x14ac:dyDescent="0.25">
      <c r="A30" s="226"/>
      <c r="B30" s="307" t="s">
        <v>993</v>
      </c>
      <c r="C30" s="304"/>
      <c r="D30" s="251"/>
      <c r="E30" s="293"/>
      <c r="F30" s="299"/>
    </row>
    <row r="31" spans="1:11" x14ac:dyDescent="0.25">
      <c r="A31" s="226"/>
      <c r="B31" s="307"/>
      <c r="C31" s="304"/>
      <c r="D31" s="251"/>
      <c r="E31" s="293"/>
      <c r="F31" s="299"/>
    </row>
    <row r="32" spans="1:11" ht="69" x14ac:dyDescent="0.25">
      <c r="A32" s="226"/>
      <c r="B32" s="307" t="s">
        <v>994</v>
      </c>
      <c r="C32" s="304"/>
      <c r="D32" s="251"/>
      <c r="E32" s="293"/>
      <c r="F32" s="299"/>
    </row>
    <row r="33" spans="1:9" x14ac:dyDescent="0.25">
      <c r="A33" s="708"/>
      <c r="B33" s="918"/>
      <c r="C33" s="710"/>
      <c r="D33" s="711"/>
      <c r="E33" s="712"/>
      <c r="F33" s="713"/>
    </row>
    <row r="34" spans="1:9" ht="85.8" customHeight="1" x14ac:dyDescent="0.25">
      <c r="A34" s="714"/>
      <c r="B34" s="836" t="s">
        <v>995</v>
      </c>
      <c r="C34" s="715"/>
      <c r="D34" s="250"/>
      <c r="E34" s="716"/>
      <c r="F34" s="717"/>
    </row>
    <row r="35" spans="1:9" ht="41.4" x14ac:dyDescent="0.25">
      <c r="A35" s="226"/>
      <c r="B35" s="324" t="s">
        <v>996</v>
      </c>
      <c r="C35" s="304"/>
      <c r="D35" s="251"/>
      <c r="E35" s="293"/>
      <c r="F35" s="299"/>
    </row>
    <row r="36" spans="1:9" x14ac:dyDescent="0.25">
      <c r="A36" s="226"/>
      <c r="B36" s="307" t="s">
        <v>997</v>
      </c>
      <c r="C36" s="304"/>
      <c r="D36" s="251"/>
      <c r="E36" s="293"/>
      <c r="F36" s="299"/>
    </row>
    <row r="37" spans="1:9" ht="27.6" x14ac:dyDescent="0.25">
      <c r="A37" s="226"/>
      <c r="B37" s="307" t="s">
        <v>998</v>
      </c>
      <c r="C37" s="304"/>
      <c r="D37" s="251"/>
      <c r="E37" s="293"/>
      <c r="F37" s="299"/>
    </row>
    <row r="38" spans="1:9" ht="27.6" x14ac:dyDescent="0.25">
      <c r="A38" s="226"/>
      <c r="B38" s="307" t="s">
        <v>999</v>
      </c>
      <c r="C38" s="304"/>
      <c r="D38" s="251"/>
      <c r="E38" s="293"/>
      <c r="F38" s="299"/>
    </row>
    <row r="39" spans="1:9" ht="27.6" x14ac:dyDescent="0.25">
      <c r="A39" s="226"/>
      <c r="B39" s="307" t="s">
        <v>1000</v>
      </c>
      <c r="C39" s="304"/>
      <c r="D39" s="251"/>
      <c r="E39" s="293"/>
      <c r="F39" s="299"/>
    </row>
    <row r="40" spans="1:9" x14ac:dyDescent="0.25">
      <c r="A40" s="226"/>
      <c r="B40" s="307"/>
      <c r="C40" s="304"/>
      <c r="D40" s="251"/>
      <c r="E40" s="293"/>
      <c r="F40" s="299"/>
    </row>
    <row r="41" spans="1:9" ht="90.6" customHeight="1" x14ac:dyDescent="0.25">
      <c r="A41" s="226"/>
      <c r="B41" s="303" t="s">
        <v>1001</v>
      </c>
      <c r="C41" s="304"/>
      <c r="D41" s="251"/>
      <c r="E41" s="674"/>
      <c r="F41" s="675"/>
    </row>
    <row r="42" spans="1:9" x14ac:dyDescent="0.25">
      <c r="A42" s="226"/>
      <c r="B42" s="326"/>
      <c r="C42" s="744"/>
      <c r="D42" s="251"/>
      <c r="E42" s="674"/>
      <c r="F42" s="675"/>
    </row>
    <row r="43" spans="1:9" ht="45" customHeight="1" x14ac:dyDescent="0.25">
      <c r="A43" s="226" t="s">
        <v>550</v>
      </c>
      <c r="B43" s="303" t="s">
        <v>1148</v>
      </c>
      <c r="C43" s="744">
        <v>4</v>
      </c>
      <c r="D43" s="251" t="s">
        <v>78</v>
      </c>
      <c r="E43" s="674">
        <f>25000*1.25</f>
        <v>31250</v>
      </c>
      <c r="F43" s="675">
        <f>E43*C43</f>
        <v>125000</v>
      </c>
    </row>
    <row r="44" spans="1:9" x14ac:dyDescent="0.25">
      <c r="A44" s="226"/>
      <c r="B44" s="326"/>
      <c r="C44" s="744"/>
      <c r="D44" s="251"/>
      <c r="E44" s="674"/>
      <c r="F44" s="675"/>
    </row>
    <row r="45" spans="1:9" ht="45.6" customHeight="1" x14ac:dyDescent="0.25">
      <c r="A45" s="226" t="s">
        <v>551</v>
      </c>
      <c r="B45" s="303" t="s">
        <v>1007</v>
      </c>
      <c r="C45" s="744">
        <v>32</v>
      </c>
      <c r="D45" s="251" t="s">
        <v>1002</v>
      </c>
      <c r="E45" s="674">
        <v>2702</v>
      </c>
      <c r="F45" s="675">
        <f>E45*C45</f>
        <v>86464</v>
      </c>
      <c r="I45" s="24">
        <f>4*8</f>
        <v>32</v>
      </c>
    </row>
    <row r="46" spans="1:9" x14ac:dyDescent="0.25">
      <c r="A46" s="226"/>
      <c r="B46" s="326"/>
      <c r="C46" s="744"/>
      <c r="D46" s="251"/>
      <c r="E46" s="674"/>
      <c r="F46" s="675"/>
    </row>
    <row r="47" spans="1:9" ht="46.2" customHeight="1" x14ac:dyDescent="0.25">
      <c r="A47" s="226" t="s">
        <v>552</v>
      </c>
      <c r="B47" s="303" t="s">
        <v>1006</v>
      </c>
      <c r="C47" s="744">
        <v>8</v>
      </c>
      <c r="D47" s="251" t="s">
        <v>1002</v>
      </c>
      <c r="E47" s="674">
        <v>3108</v>
      </c>
      <c r="F47" s="675">
        <f>E47*C47</f>
        <v>24864</v>
      </c>
    </row>
    <row r="48" spans="1:9" x14ac:dyDescent="0.25">
      <c r="A48" s="226"/>
      <c r="B48" s="303"/>
      <c r="C48" s="744"/>
      <c r="D48" s="251"/>
      <c r="E48" s="674"/>
      <c r="F48" s="675"/>
    </row>
    <row r="49" spans="1:12" ht="45.6" customHeight="1" x14ac:dyDescent="0.25">
      <c r="A49" s="226" t="s">
        <v>553</v>
      </c>
      <c r="B49" s="303" t="s">
        <v>1215</v>
      </c>
      <c r="C49" s="744">
        <v>8</v>
      </c>
      <c r="D49" s="251" t="s">
        <v>78</v>
      </c>
      <c r="E49" s="674">
        <f>8614*4</f>
        <v>34456</v>
      </c>
      <c r="F49" s="675">
        <f>E49*C49</f>
        <v>275648</v>
      </c>
    </row>
    <row r="50" spans="1:12" x14ac:dyDescent="0.25">
      <c r="A50" s="226"/>
      <c r="B50" s="303"/>
      <c r="C50" s="744"/>
      <c r="D50" s="251"/>
      <c r="E50" s="674"/>
      <c r="F50" s="675"/>
    </row>
    <row r="51" spans="1:12" ht="32.4" customHeight="1" x14ac:dyDescent="0.25">
      <c r="A51" s="226" t="s">
        <v>554</v>
      </c>
      <c r="B51" s="303" t="s">
        <v>1059</v>
      </c>
      <c r="C51" s="906">
        <v>8</v>
      </c>
      <c r="D51" s="907" t="s">
        <v>168</v>
      </c>
      <c r="E51" s="832">
        <v>9953</v>
      </c>
      <c r="F51" s="831">
        <f>E51*C51</f>
        <v>79624</v>
      </c>
    </row>
    <row r="52" spans="1:12" x14ac:dyDescent="0.25">
      <c r="A52" s="226"/>
      <c r="B52" s="303"/>
      <c r="C52" s="906"/>
      <c r="D52" s="907"/>
      <c r="E52" s="832"/>
      <c r="F52" s="831"/>
    </row>
    <row r="53" spans="1:12" ht="41.4" x14ac:dyDescent="0.25">
      <c r="A53" s="226" t="s">
        <v>1319</v>
      </c>
      <c r="B53" s="303" t="s">
        <v>1318</v>
      </c>
      <c r="C53" s="744">
        <v>4</v>
      </c>
      <c r="D53" s="251" t="s">
        <v>78</v>
      </c>
      <c r="E53" s="674">
        <f>15000*1.25</f>
        <v>18750</v>
      </c>
      <c r="F53" s="675">
        <f>E53*C53</f>
        <v>75000</v>
      </c>
    </row>
    <row r="54" spans="1:12" x14ac:dyDescent="0.25">
      <c r="A54" s="226"/>
      <c r="B54" s="303"/>
      <c r="C54" s="906"/>
      <c r="D54" s="907"/>
      <c r="E54" s="832"/>
      <c r="F54" s="831"/>
    </row>
    <row r="55" spans="1:12" ht="41.4" x14ac:dyDescent="0.25">
      <c r="A55" s="226" t="s">
        <v>1322</v>
      </c>
      <c r="B55" s="303" t="s">
        <v>1320</v>
      </c>
      <c r="C55" s="744">
        <v>4</v>
      </c>
      <c r="D55" s="251" t="s">
        <v>1002</v>
      </c>
      <c r="E55" s="674">
        <f>E47/8*5</f>
        <v>1942.5</v>
      </c>
      <c r="F55" s="675">
        <f>E55*C55</f>
        <v>7770</v>
      </c>
    </row>
    <row r="56" spans="1:12" x14ac:dyDescent="0.25">
      <c r="A56" s="226"/>
      <c r="B56" s="303"/>
      <c r="C56" s="906"/>
      <c r="D56" s="907"/>
      <c r="E56" s="832"/>
      <c r="F56" s="831"/>
    </row>
    <row r="57" spans="1:12" ht="41.4" x14ac:dyDescent="0.25">
      <c r="A57" s="226" t="s">
        <v>1323</v>
      </c>
      <c r="B57" s="303" t="s">
        <v>1321</v>
      </c>
      <c r="C57" s="906">
        <v>4</v>
      </c>
      <c r="D57" s="907" t="s">
        <v>168</v>
      </c>
      <c r="E57" s="832">
        <v>9953</v>
      </c>
      <c r="F57" s="831">
        <f>E57*C57</f>
        <v>39812</v>
      </c>
    </row>
    <row r="58" spans="1:12" x14ac:dyDescent="0.25">
      <c r="A58" s="226"/>
      <c r="B58" s="303"/>
      <c r="C58" s="906"/>
      <c r="D58" s="907"/>
      <c r="E58" s="832"/>
      <c r="F58" s="831"/>
    </row>
    <row r="59" spans="1:12" x14ac:dyDescent="0.25">
      <c r="A59" s="708"/>
      <c r="B59" s="916"/>
      <c r="C59" s="919"/>
      <c r="D59" s="711"/>
      <c r="E59" s="712"/>
      <c r="F59" s="713"/>
    </row>
    <row r="60" spans="1:12" x14ac:dyDescent="0.25">
      <c r="A60" s="714"/>
      <c r="B60" s="917" t="s">
        <v>1003</v>
      </c>
      <c r="C60" s="920"/>
      <c r="D60" s="250"/>
      <c r="E60" s="716"/>
      <c r="F60" s="717"/>
    </row>
    <row r="61" spans="1:12" ht="27.6" x14ac:dyDescent="0.25">
      <c r="A61" s="226"/>
      <c r="B61" s="326" t="s">
        <v>1004</v>
      </c>
      <c r="C61" s="744"/>
      <c r="D61" s="251"/>
      <c r="E61" s="293"/>
      <c r="F61" s="299"/>
      <c r="L61" s="24">
        <f>K62*2</f>
        <v>7.56</v>
      </c>
    </row>
    <row r="62" spans="1:12" ht="96.6" customHeight="1" x14ac:dyDescent="0.25">
      <c r="A62" s="227" t="s">
        <v>552</v>
      </c>
      <c r="B62" s="746" t="s">
        <v>1005</v>
      </c>
      <c r="C62" s="747" t="e">
        <f>'m shet Miss premila'!#REF!+'m shet Miss premila'!#REF!</f>
        <v>#REF!</v>
      </c>
      <c r="D62" s="748" t="s">
        <v>748</v>
      </c>
      <c r="E62" s="749">
        <v>23446</v>
      </c>
      <c r="F62" s="748" t="e">
        <f>E62*C62</f>
        <v>#REF!</v>
      </c>
      <c r="G62" s="24" t="e">
        <f>SUM(F6:F63)</f>
        <v>#REF!</v>
      </c>
      <c r="J62" s="24" t="e">
        <f>G62/37</f>
        <v>#REF!</v>
      </c>
      <c r="K62" s="24">
        <f>2.7*1.4</f>
        <v>3.78</v>
      </c>
      <c r="L62" s="24">
        <f>L61*10.76</f>
        <v>81.34559999999999</v>
      </c>
    </row>
    <row r="63" spans="1:12" x14ac:dyDescent="0.25">
      <c r="A63" s="750"/>
      <c r="B63" s="751"/>
      <c r="C63" s="752"/>
      <c r="D63" s="753"/>
      <c r="E63" s="754"/>
      <c r="F63" s="753"/>
      <c r="L63" s="24">
        <f>L62/100</f>
        <v>0.81345599999999996</v>
      </c>
    </row>
    <row r="64" spans="1:12" s="12" customFormat="1" ht="27.6" x14ac:dyDescent="0.25">
      <c r="A64" s="760"/>
      <c r="B64" s="103" t="s">
        <v>738</v>
      </c>
      <c r="C64" s="104"/>
      <c r="D64" s="105"/>
      <c r="E64" s="199"/>
      <c r="F64" s="813" t="e">
        <f>SUM(F2:F63)</f>
        <v>#REF!</v>
      </c>
      <c r="H64" s="12" t="e">
        <f>F64/I19</f>
        <v>#REF!</v>
      </c>
      <c r="I64" s="12" t="e">
        <f>H64/4</f>
        <v>#REF!</v>
      </c>
    </row>
  </sheetData>
  <pageMargins left="0.5" right="0.5" top="0.25" bottom="0.25" header="0.5" footer="0.5"/>
  <pageSetup orientation="portrait" r:id="rId1"/>
  <headerFooter alignWithMargins="0">
    <oddFooter>&amp;C&amp;P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00B050"/>
  </sheetPr>
  <dimension ref="A1:O71"/>
  <sheetViews>
    <sheetView showZeros="0" view="pageBreakPreview" zoomScaleNormal="100" zoomScaleSheetLayoutView="100" workbookViewId="0">
      <pane xSplit="1" ySplit="1" topLeftCell="B53" activePane="bottomRight" state="frozen"/>
      <selection pane="topRight" activeCell="B1" sqref="B1"/>
      <selection pane="bottomLeft" activeCell="A2" sqref="A2"/>
      <selection pane="bottomRight" sqref="A1:F34"/>
    </sheetView>
  </sheetViews>
  <sheetFormatPr defaultColWidth="11" defaultRowHeight="13.2" x14ac:dyDescent="0.25"/>
  <cols>
    <col min="1" max="1" width="6.44140625" style="615" bestFit="1" customWidth="1"/>
    <col min="2" max="2" width="46.5546875" style="622" customWidth="1"/>
    <col min="3" max="3" width="9.21875" style="615" bestFit="1" customWidth="1"/>
    <col min="4" max="4" width="6.109375" style="623" bestFit="1" customWidth="1"/>
    <col min="5" max="5" width="12.5546875" style="624" bestFit="1" customWidth="1"/>
    <col min="6" max="6" width="15.44140625" style="624" bestFit="1" customWidth="1"/>
    <col min="7" max="7" width="15.6640625" style="593" customWidth="1"/>
    <col min="8" max="8" width="14.77734375" style="588" bestFit="1" customWidth="1"/>
    <col min="9" max="9" width="14.77734375" style="594" customWidth="1"/>
    <col min="10" max="10" width="12.6640625" style="594" bestFit="1" customWidth="1"/>
    <col min="11" max="11" width="11.21875" style="594" bestFit="1" customWidth="1"/>
    <col min="12" max="13" width="11" style="594"/>
    <col min="14" max="14" width="12.6640625" style="594" bestFit="1" customWidth="1"/>
    <col min="15" max="16384" width="11" style="594"/>
  </cols>
  <sheetData>
    <row r="1" spans="1:15" s="590" customFormat="1" ht="23.25" customHeight="1" thickBot="1" x14ac:dyDescent="0.3">
      <c r="A1" s="581" t="s">
        <v>13</v>
      </c>
      <c r="B1" s="582" t="s">
        <v>1</v>
      </c>
      <c r="C1" s="583" t="s">
        <v>2</v>
      </c>
      <c r="D1" s="584" t="s">
        <v>3</v>
      </c>
      <c r="E1" s="585" t="s">
        <v>953</v>
      </c>
      <c r="F1" s="586" t="s">
        <v>954</v>
      </c>
      <c r="G1" s="587" t="s">
        <v>955</v>
      </c>
      <c r="H1" s="588"/>
      <c r="I1" s="589"/>
      <c r="J1" s="589"/>
      <c r="K1" s="589"/>
      <c r="L1" s="589"/>
      <c r="M1" s="589"/>
      <c r="N1" s="589"/>
      <c r="O1" s="589"/>
    </row>
    <row r="2" spans="1:15" s="595" customFormat="1" ht="15.6" x14ac:dyDescent="0.25">
      <c r="A2" s="597">
        <v>1</v>
      </c>
      <c r="B2" s="596" t="s">
        <v>1271</v>
      </c>
      <c r="C2" s="591"/>
      <c r="D2" s="591"/>
      <c r="E2" s="591"/>
      <c r="F2" s="591"/>
      <c r="G2" s="593"/>
      <c r="H2" s="588"/>
      <c r="I2" s="594"/>
      <c r="J2" s="594"/>
      <c r="K2" s="594"/>
      <c r="L2" s="594"/>
      <c r="M2" s="594"/>
      <c r="N2" s="594"/>
      <c r="O2" s="594"/>
    </row>
    <row r="3" spans="1:15" s="595" customFormat="1" ht="15.6" x14ac:dyDescent="0.25">
      <c r="A3" s="597"/>
      <c r="B3" s="596"/>
      <c r="C3" s="591"/>
      <c r="D3" s="591"/>
      <c r="E3" s="591"/>
      <c r="F3" s="591"/>
      <c r="G3" s="593"/>
      <c r="H3" s="588"/>
      <c r="I3" s="594"/>
      <c r="J3" s="594"/>
      <c r="K3" s="594"/>
      <c r="L3" s="594"/>
      <c r="M3" s="594"/>
      <c r="N3" s="594"/>
      <c r="O3" s="594"/>
    </row>
    <row r="4" spans="1:15" s="595" customFormat="1" ht="15.6" x14ac:dyDescent="0.25">
      <c r="A4" s="592"/>
      <c r="B4" s="602" t="s">
        <v>956</v>
      </c>
      <c r="C4" s="591"/>
      <c r="D4" s="591"/>
      <c r="E4" s="591"/>
      <c r="F4" s="591"/>
      <c r="G4" s="593"/>
      <c r="H4" s="588"/>
      <c r="I4" s="594"/>
      <c r="J4" s="594"/>
      <c r="K4" s="594"/>
      <c r="L4" s="594"/>
      <c r="M4" s="594"/>
      <c r="N4" s="594"/>
      <c r="O4" s="594"/>
    </row>
    <row r="5" spans="1:15" s="595" customFormat="1" x14ac:dyDescent="0.25">
      <c r="A5" s="603"/>
      <c r="B5" s="604" t="s">
        <v>957</v>
      </c>
      <c r="C5" s="599"/>
      <c r="D5" s="598"/>
      <c r="E5" s="591"/>
      <c r="F5" s="591"/>
      <c r="G5" s="593"/>
      <c r="H5" s="588"/>
      <c r="I5" s="594"/>
      <c r="J5" s="594"/>
      <c r="K5" s="594"/>
      <c r="L5" s="594"/>
      <c r="M5" s="594"/>
      <c r="N5" s="594"/>
      <c r="O5" s="594"/>
    </row>
    <row r="6" spans="1:15" s="595" customFormat="1" x14ac:dyDescent="0.25">
      <c r="A6" s="603"/>
      <c r="B6" s="604" t="s">
        <v>958</v>
      </c>
      <c r="C6" s="599"/>
      <c r="D6" s="598"/>
      <c r="E6" s="591"/>
      <c r="F6" s="591"/>
      <c r="G6" s="593"/>
      <c r="H6" s="588"/>
      <c r="I6" s="594"/>
      <c r="J6" s="594"/>
      <c r="K6" s="594"/>
      <c r="L6" s="594"/>
      <c r="M6" s="594"/>
      <c r="N6" s="594"/>
      <c r="O6" s="594"/>
    </row>
    <row r="7" spans="1:15" s="595" customFormat="1" x14ac:dyDescent="0.25">
      <c r="A7" s="603"/>
      <c r="B7" s="604"/>
      <c r="C7" s="599"/>
      <c r="D7" s="598"/>
      <c r="E7" s="591"/>
      <c r="F7" s="591"/>
      <c r="G7" s="593"/>
      <c r="H7" s="588"/>
      <c r="I7" s="594"/>
      <c r="J7" s="594"/>
      <c r="K7" s="594"/>
      <c r="L7" s="594"/>
      <c r="M7" s="594"/>
      <c r="N7" s="594"/>
      <c r="O7" s="594"/>
    </row>
    <row r="8" spans="1:15" s="595" customFormat="1" x14ac:dyDescent="0.25">
      <c r="A8" s="603"/>
      <c r="B8" s="604" t="s">
        <v>959</v>
      </c>
      <c r="C8" s="599"/>
      <c r="D8" s="598"/>
      <c r="E8" s="591"/>
      <c r="F8" s="591"/>
      <c r="G8" s="593"/>
      <c r="H8" s="588"/>
      <c r="I8" s="594"/>
      <c r="J8" s="594"/>
      <c r="K8" s="594"/>
      <c r="L8" s="594"/>
      <c r="M8" s="594"/>
      <c r="N8" s="594"/>
      <c r="O8" s="594"/>
    </row>
    <row r="9" spans="1:15" s="595" customFormat="1" x14ac:dyDescent="0.25">
      <c r="A9" s="603"/>
      <c r="B9" s="604" t="s">
        <v>957</v>
      </c>
      <c r="C9" s="599"/>
      <c r="D9" s="598"/>
      <c r="E9" s="591"/>
      <c r="F9" s="591"/>
      <c r="G9" s="593"/>
      <c r="H9" s="588"/>
      <c r="I9" s="594"/>
      <c r="J9" s="594"/>
      <c r="K9" s="594"/>
      <c r="L9" s="594"/>
      <c r="M9" s="594"/>
      <c r="N9" s="594"/>
      <c r="O9" s="594"/>
    </row>
    <row r="10" spans="1:15" s="595" customFormat="1" x14ac:dyDescent="0.25">
      <c r="A10" s="603"/>
      <c r="B10" s="604" t="s">
        <v>958</v>
      </c>
      <c r="C10" s="599"/>
      <c r="D10" s="598"/>
      <c r="E10" s="591"/>
      <c r="F10" s="591"/>
      <c r="G10" s="593"/>
      <c r="H10" s="588"/>
      <c r="I10" s="594"/>
      <c r="J10" s="594"/>
      <c r="K10" s="594"/>
      <c r="L10" s="594"/>
      <c r="M10" s="594"/>
      <c r="N10" s="594"/>
      <c r="O10" s="594"/>
    </row>
    <row r="11" spans="1:15" s="595" customFormat="1" x14ac:dyDescent="0.25">
      <c r="A11" s="603"/>
      <c r="B11" s="604"/>
      <c r="C11" s="599"/>
      <c r="D11" s="598"/>
      <c r="E11" s="591"/>
      <c r="F11" s="591"/>
      <c r="G11" s="593"/>
      <c r="H11" s="588"/>
      <c r="I11" s="594"/>
      <c r="J11" s="594"/>
      <c r="K11" s="594"/>
      <c r="L11" s="594"/>
      <c r="M11" s="594"/>
      <c r="N11" s="594"/>
      <c r="O11" s="594"/>
    </row>
    <row r="12" spans="1:15" s="595" customFormat="1" ht="26.4" x14ac:dyDescent="0.25">
      <c r="A12" s="603"/>
      <c r="B12" s="605" t="s">
        <v>960</v>
      </c>
      <c r="C12" s="599"/>
      <c r="D12" s="598"/>
      <c r="E12" s="591"/>
      <c r="F12" s="591"/>
      <c r="G12" s="593"/>
      <c r="H12" s="588"/>
      <c r="I12" s="594"/>
      <c r="J12" s="594"/>
      <c r="K12" s="594"/>
      <c r="L12" s="594"/>
      <c r="M12" s="594"/>
      <c r="N12" s="594"/>
      <c r="O12" s="594"/>
    </row>
    <row r="13" spans="1:15" s="595" customFormat="1" x14ac:dyDescent="0.25">
      <c r="A13" s="603"/>
      <c r="B13" s="606"/>
      <c r="C13" s="599"/>
      <c r="D13" s="598"/>
      <c r="E13" s="591"/>
      <c r="F13" s="591"/>
      <c r="G13" s="593"/>
      <c r="H13" s="588"/>
      <c r="I13" s="594"/>
      <c r="J13" s="594"/>
      <c r="K13" s="594"/>
      <c r="L13" s="594"/>
      <c r="M13" s="594"/>
      <c r="N13" s="594"/>
      <c r="O13" s="594"/>
    </row>
    <row r="14" spans="1:15" s="595" customFormat="1" ht="58.8" customHeight="1" x14ac:dyDescent="0.25">
      <c r="A14" s="603"/>
      <c r="B14" s="607" t="s">
        <v>961</v>
      </c>
      <c r="C14" s="599"/>
      <c r="D14" s="598"/>
      <c r="E14" s="591"/>
      <c r="F14" s="591"/>
      <c r="G14" s="593"/>
      <c r="H14" s="588"/>
      <c r="I14" s="594"/>
      <c r="J14" s="594"/>
      <c r="K14" s="594"/>
      <c r="L14" s="594"/>
      <c r="M14" s="594"/>
      <c r="N14" s="594"/>
      <c r="O14" s="594"/>
    </row>
    <row r="15" spans="1:15" s="595" customFormat="1" x14ac:dyDescent="0.25">
      <c r="A15" s="603"/>
      <c r="B15" s="606"/>
      <c r="C15" s="599"/>
      <c r="D15" s="598"/>
      <c r="E15" s="591"/>
      <c r="F15" s="591"/>
      <c r="G15" s="593"/>
      <c r="H15" s="588"/>
      <c r="I15" s="594"/>
      <c r="J15" s="594"/>
      <c r="K15" s="594"/>
      <c r="L15" s="594"/>
      <c r="M15" s="594"/>
      <c r="N15" s="594"/>
      <c r="O15" s="594"/>
    </row>
    <row r="16" spans="1:15" s="595" customFormat="1" ht="52.8" x14ac:dyDescent="0.25">
      <c r="A16" s="603"/>
      <c r="B16" s="605" t="s">
        <v>962</v>
      </c>
      <c r="C16" s="599"/>
      <c r="D16" s="598"/>
      <c r="E16" s="591"/>
      <c r="F16" s="591"/>
      <c r="G16" s="593"/>
      <c r="H16" s="588"/>
      <c r="I16" s="594"/>
      <c r="J16" s="594"/>
      <c r="K16" s="594"/>
      <c r="L16" s="594"/>
      <c r="M16" s="594"/>
      <c r="N16" s="594"/>
      <c r="O16" s="594"/>
    </row>
    <row r="17" spans="1:15" s="595" customFormat="1" x14ac:dyDescent="0.25">
      <c r="A17" s="603"/>
      <c r="B17" s="606"/>
      <c r="C17" s="599"/>
      <c r="D17" s="598"/>
      <c r="E17" s="591"/>
      <c r="F17" s="591"/>
      <c r="G17" s="593"/>
      <c r="H17" s="588"/>
      <c r="I17" s="594"/>
      <c r="J17" s="594"/>
      <c r="K17" s="594"/>
      <c r="L17" s="594"/>
      <c r="M17" s="594"/>
      <c r="N17" s="594"/>
      <c r="O17" s="594"/>
    </row>
    <row r="18" spans="1:15" s="595" customFormat="1" x14ac:dyDescent="0.25">
      <c r="A18" s="603"/>
      <c r="B18" s="608" t="s">
        <v>963</v>
      </c>
      <c r="C18" s="599"/>
      <c r="D18" s="598"/>
      <c r="E18" s="591"/>
      <c r="F18" s="591"/>
      <c r="G18" s="593"/>
      <c r="H18" s="588"/>
      <c r="I18" s="594"/>
      <c r="J18" s="594"/>
      <c r="K18" s="594"/>
      <c r="L18" s="594"/>
      <c r="M18" s="594"/>
      <c r="N18" s="594"/>
      <c r="O18" s="594"/>
    </row>
    <row r="19" spans="1:15" s="595" customFormat="1" ht="66" x14ac:dyDescent="0.25">
      <c r="A19" s="603"/>
      <c r="B19" s="605" t="s">
        <v>964</v>
      </c>
      <c r="C19" s="599"/>
      <c r="D19" s="598"/>
      <c r="E19" s="591"/>
      <c r="F19" s="591"/>
      <c r="G19" s="593"/>
      <c r="H19" s="588"/>
      <c r="I19" s="594"/>
      <c r="J19" s="594"/>
      <c r="K19" s="594"/>
      <c r="L19" s="594"/>
      <c r="M19" s="594"/>
      <c r="N19" s="594"/>
      <c r="O19" s="594"/>
    </row>
    <row r="20" spans="1:15" s="595" customFormat="1" x14ac:dyDescent="0.25">
      <c r="A20" s="603"/>
      <c r="B20" s="606"/>
      <c r="C20" s="599"/>
      <c r="D20" s="598"/>
      <c r="E20" s="591"/>
      <c r="F20" s="591"/>
      <c r="G20" s="593"/>
      <c r="H20" s="588"/>
      <c r="I20" s="594"/>
      <c r="J20" s="594"/>
      <c r="K20" s="594"/>
      <c r="L20" s="594"/>
      <c r="M20" s="594"/>
      <c r="N20" s="594"/>
      <c r="O20" s="594"/>
    </row>
    <row r="21" spans="1:15" s="595" customFormat="1" x14ac:dyDescent="0.25">
      <c r="A21" s="603"/>
      <c r="B21" s="608" t="s">
        <v>965</v>
      </c>
      <c r="C21" s="599"/>
      <c r="D21" s="598"/>
      <c r="E21" s="591"/>
      <c r="F21" s="591"/>
      <c r="G21" s="593"/>
      <c r="H21" s="588"/>
      <c r="I21" s="594"/>
      <c r="J21" s="594"/>
      <c r="K21" s="594"/>
      <c r="L21" s="594"/>
      <c r="M21" s="594"/>
      <c r="N21" s="594"/>
      <c r="O21" s="594"/>
    </row>
    <row r="22" spans="1:15" s="595" customFormat="1" ht="66" x14ac:dyDescent="0.25">
      <c r="A22" s="603"/>
      <c r="B22" s="607" t="s">
        <v>966</v>
      </c>
      <c r="C22" s="599"/>
      <c r="D22" s="598"/>
      <c r="E22" s="591"/>
      <c r="F22" s="591"/>
      <c r="G22" s="593"/>
      <c r="H22" s="588"/>
      <c r="I22" s="594"/>
      <c r="J22" s="594"/>
      <c r="K22" s="594"/>
      <c r="L22" s="594"/>
      <c r="M22" s="594"/>
      <c r="N22" s="594"/>
      <c r="O22" s="594"/>
    </row>
    <row r="23" spans="1:15" s="595" customFormat="1" x14ac:dyDescent="0.25">
      <c r="A23" s="603"/>
      <c r="B23" s="606"/>
      <c r="C23" s="599"/>
      <c r="D23" s="598"/>
      <c r="E23" s="591"/>
      <c r="F23" s="591"/>
      <c r="G23" s="593"/>
      <c r="H23" s="588"/>
      <c r="I23" s="594"/>
      <c r="J23" s="594"/>
      <c r="K23" s="594"/>
      <c r="L23" s="594"/>
      <c r="M23" s="594"/>
      <c r="N23" s="594"/>
      <c r="O23" s="594"/>
    </row>
    <row r="24" spans="1:15" s="595" customFormat="1" x14ac:dyDescent="0.25">
      <c r="A24" s="603"/>
      <c r="B24" s="608" t="s">
        <v>967</v>
      </c>
      <c r="C24" s="599"/>
      <c r="D24" s="598"/>
      <c r="E24" s="591"/>
      <c r="F24" s="591"/>
      <c r="G24" s="593"/>
      <c r="H24" s="588"/>
      <c r="I24" s="594"/>
      <c r="J24" s="594"/>
      <c r="K24" s="594"/>
      <c r="L24" s="594"/>
      <c r="M24" s="594"/>
      <c r="N24" s="594"/>
      <c r="O24" s="594"/>
    </row>
    <row r="25" spans="1:15" s="595" customFormat="1" ht="39.6" x14ac:dyDescent="0.25">
      <c r="A25" s="603"/>
      <c r="B25" s="605" t="s">
        <v>968</v>
      </c>
      <c r="C25" s="599"/>
      <c r="D25" s="598"/>
      <c r="E25" s="591"/>
      <c r="F25" s="591"/>
      <c r="G25" s="593"/>
      <c r="H25" s="588"/>
      <c r="I25" s="594"/>
      <c r="J25" s="594"/>
      <c r="K25" s="594"/>
      <c r="L25" s="594"/>
      <c r="M25" s="594"/>
      <c r="N25" s="594"/>
      <c r="O25" s="594"/>
    </row>
    <row r="26" spans="1:15" s="595" customFormat="1" x14ac:dyDescent="0.25">
      <c r="A26" s="603"/>
      <c r="B26" s="606"/>
      <c r="C26" s="599"/>
      <c r="D26" s="598"/>
      <c r="E26" s="591"/>
      <c r="F26" s="591"/>
      <c r="G26" s="593"/>
      <c r="H26" s="588"/>
      <c r="I26" s="594"/>
      <c r="J26" s="594"/>
      <c r="K26" s="594"/>
      <c r="L26" s="594"/>
      <c r="M26" s="594"/>
      <c r="N26" s="594"/>
      <c r="O26" s="594"/>
    </row>
    <row r="27" spans="1:15" s="595" customFormat="1" ht="52.8" x14ac:dyDescent="0.25">
      <c r="A27" s="603"/>
      <c r="B27" s="605" t="s">
        <v>969</v>
      </c>
      <c r="C27" s="599"/>
      <c r="D27" s="598"/>
      <c r="E27" s="591"/>
      <c r="F27" s="591"/>
      <c r="G27" s="593"/>
      <c r="H27" s="588"/>
      <c r="I27" s="594"/>
      <c r="J27" s="594"/>
      <c r="K27" s="594"/>
      <c r="L27" s="594"/>
      <c r="M27" s="594"/>
      <c r="N27" s="594"/>
      <c r="O27" s="594"/>
    </row>
    <row r="28" spans="1:15" s="595" customFormat="1" x14ac:dyDescent="0.25">
      <c r="A28" s="603"/>
      <c r="B28" s="606"/>
      <c r="C28" s="599"/>
      <c r="D28" s="598"/>
      <c r="E28" s="591"/>
      <c r="F28" s="591"/>
      <c r="G28" s="593"/>
      <c r="H28" s="588"/>
      <c r="I28" s="594"/>
      <c r="J28" s="594"/>
      <c r="K28" s="594"/>
      <c r="L28" s="594"/>
      <c r="M28" s="594"/>
      <c r="N28" s="594"/>
      <c r="O28" s="594"/>
    </row>
    <row r="29" spans="1:15" s="595" customFormat="1" ht="26.4" x14ac:dyDescent="0.25">
      <c r="A29" s="603"/>
      <c r="B29" s="605" t="s">
        <v>970</v>
      </c>
      <c r="C29" s="599"/>
      <c r="D29" s="598"/>
      <c r="E29" s="591"/>
      <c r="F29" s="591"/>
      <c r="G29" s="593"/>
      <c r="H29" s="588"/>
      <c r="I29" s="594"/>
      <c r="J29" s="594"/>
      <c r="K29" s="594"/>
      <c r="L29" s="594"/>
      <c r="M29" s="594"/>
      <c r="N29" s="594"/>
      <c r="O29" s="594"/>
    </row>
    <row r="30" spans="1:15" s="595" customFormat="1" x14ac:dyDescent="0.25">
      <c r="A30" s="603"/>
      <c r="B30" s="606"/>
      <c r="C30" s="599"/>
      <c r="D30" s="598"/>
      <c r="E30" s="591"/>
      <c r="F30" s="591"/>
      <c r="G30" s="593"/>
      <c r="H30" s="588"/>
      <c r="I30" s="594"/>
      <c r="J30" s="594"/>
      <c r="K30" s="594"/>
      <c r="L30" s="594"/>
      <c r="M30" s="594"/>
      <c r="N30" s="594"/>
      <c r="O30" s="594"/>
    </row>
    <row r="31" spans="1:15" s="595" customFormat="1" ht="61.2" customHeight="1" x14ac:dyDescent="0.25">
      <c r="A31" s="603"/>
      <c r="B31" s="607" t="s">
        <v>971</v>
      </c>
      <c r="C31" s="599"/>
      <c r="D31" s="598"/>
      <c r="E31" s="591"/>
      <c r="F31" s="591"/>
      <c r="G31" s="593"/>
      <c r="H31" s="588"/>
      <c r="I31" s="594"/>
      <c r="J31" s="594"/>
      <c r="K31" s="594"/>
      <c r="L31" s="594"/>
      <c r="M31" s="594"/>
      <c r="N31" s="594"/>
      <c r="O31" s="594"/>
    </row>
    <row r="32" spans="1:15" s="595" customFormat="1" x14ac:dyDescent="0.25">
      <c r="A32" s="603"/>
      <c r="B32" s="607"/>
      <c r="C32" s="599"/>
      <c r="D32" s="598"/>
      <c r="E32" s="591"/>
      <c r="F32" s="591"/>
      <c r="G32" s="593"/>
      <c r="H32" s="588"/>
      <c r="I32" s="594"/>
      <c r="J32" s="594"/>
      <c r="K32" s="594"/>
      <c r="L32" s="594"/>
      <c r="M32" s="594"/>
      <c r="N32" s="594"/>
      <c r="O32" s="594"/>
    </row>
    <row r="33" spans="1:15" s="595" customFormat="1" x14ac:dyDescent="0.25">
      <c r="A33" s="603"/>
      <c r="B33" s="607"/>
      <c r="C33" s="599"/>
      <c r="D33" s="598"/>
      <c r="E33" s="591"/>
      <c r="F33" s="591"/>
      <c r="G33" s="593"/>
      <c r="H33" s="588"/>
      <c r="I33" s="594"/>
      <c r="J33" s="594"/>
      <c r="K33" s="594"/>
      <c r="L33" s="594"/>
      <c r="M33" s="594"/>
      <c r="N33" s="594"/>
      <c r="O33" s="594"/>
    </row>
    <row r="34" spans="1:15" s="595" customFormat="1" x14ac:dyDescent="0.25">
      <c r="A34" s="761"/>
      <c r="B34" s="921"/>
      <c r="C34" s="762"/>
      <c r="D34" s="763"/>
      <c r="E34" s="764"/>
      <c r="F34" s="764"/>
      <c r="G34" s="593"/>
      <c r="H34" s="588"/>
      <c r="I34" s="594"/>
      <c r="J34" s="594"/>
      <c r="K34" s="594"/>
      <c r="L34" s="594"/>
      <c r="M34" s="594"/>
      <c r="N34" s="594"/>
      <c r="O34" s="594"/>
    </row>
    <row r="35" spans="1:15" s="595" customFormat="1" x14ac:dyDescent="0.25">
      <c r="A35" s="603"/>
      <c r="B35" s="608" t="s">
        <v>972</v>
      </c>
      <c r="C35" s="599"/>
      <c r="D35" s="598"/>
      <c r="E35" s="591"/>
      <c r="F35" s="591"/>
      <c r="G35" s="593"/>
      <c r="H35" s="588"/>
      <c r="I35" s="594"/>
      <c r="J35" s="594"/>
      <c r="K35" s="594"/>
      <c r="L35" s="594"/>
      <c r="M35" s="594"/>
      <c r="N35" s="594"/>
      <c r="O35" s="594"/>
    </row>
    <row r="36" spans="1:15" s="595" customFormat="1" ht="52.8" x14ac:dyDescent="0.25">
      <c r="A36" s="603"/>
      <c r="B36" s="605" t="s">
        <v>973</v>
      </c>
      <c r="C36" s="599"/>
      <c r="D36" s="598"/>
      <c r="E36" s="591"/>
      <c r="F36" s="591"/>
      <c r="G36" s="593"/>
      <c r="H36" s="588"/>
      <c r="I36" s="594"/>
      <c r="J36" s="594"/>
      <c r="K36" s="594"/>
      <c r="L36" s="594"/>
      <c r="M36" s="594"/>
      <c r="N36" s="594"/>
      <c r="O36" s="594"/>
    </row>
    <row r="37" spans="1:15" s="595" customFormat="1" x14ac:dyDescent="0.25">
      <c r="A37" s="603"/>
      <c r="B37" s="605"/>
      <c r="C37" s="599"/>
      <c r="D37" s="598"/>
      <c r="E37" s="591"/>
      <c r="F37" s="591"/>
      <c r="G37" s="593"/>
      <c r="H37" s="588"/>
      <c r="I37" s="594"/>
      <c r="J37" s="594"/>
      <c r="K37" s="594"/>
      <c r="L37" s="594"/>
      <c r="M37" s="594"/>
      <c r="N37" s="594"/>
      <c r="O37" s="594"/>
    </row>
    <row r="38" spans="1:15" s="595" customFormat="1" x14ac:dyDescent="0.25">
      <c r="A38" s="603"/>
      <c r="B38" s="606" t="s">
        <v>974</v>
      </c>
      <c r="C38" s="599"/>
      <c r="D38" s="598"/>
      <c r="E38" s="591"/>
      <c r="F38" s="591"/>
      <c r="G38" s="593"/>
      <c r="H38" s="588"/>
      <c r="I38" s="594"/>
      <c r="J38" s="594"/>
      <c r="K38" s="594"/>
      <c r="L38" s="594"/>
      <c r="M38" s="594"/>
      <c r="N38" s="594"/>
      <c r="O38" s="594"/>
    </row>
    <row r="39" spans="1:15" s="595" customFormat="1" ht="66" x14ac:dyDescent="0.25">
      <c r="A39" s="603"/>
      <c r="B39" s="605" t="s">
        <v>975</v>
      </c>
      <c r="C39" s="599"/>
      <c r="D39" s="598"/>
      <c r="E39" s="591"/>
      <c r="F39" s="591"/>
      <c r="G39" s="593"/>
      <c r="H39" s="588"/>
      <c r="I39" s="594"/>
      <c r="J39" s="594"/>
      <c r="K39" s="594"/>
      <c r="L39" s="594"/>
      <c r="M39" s="594"/>
      <c r="N39" s="594"/>
      <c r="O39" s="594"/>
    </row>
    <row r="40" spans="1:15" s="595" customFormat="1" x14ac:dyDescent="0.25">
      <c r="A40" s="603"/>
      <c r="B40" s="606"/>
      <c r="C40" s="599"/>
      <c r="D40" s="598"/>
      <c r="E40" s="591"/>
      <c r="F40" s="591"/>
      <c r="G40" s="593"/>
      <c r="H40" s="588"/>
      <c r="I40" s="594"/>
      <c r="J40" s="594"/>
      <c r="K40" s="594"/>
      <c r="L40" s="594"/>
      <c r="M40" s="594"/>
      <c r="N40" s="594"/>
      <c r="O40" s="594"/>
    </row>
    <row r="41" spans="1:15" s="595" customFormat="1" x14ac:dyDescent="0.25">
      <c r="A41" s="603"/>
      <c r="B41" s="608" t="s">
        <v>976</v>
      </c>
      <c r="C41" s="599"/>
      <c r="D41" s="598"/>
      <c r="E41" s="591"/>
      <c r="F41" s="591"/>
      <c r="G41" s="593"/>
      <c r="H41" s="588"/>
      <c r="I41" s="594"/>
      <c r="J41" s="594"/>
      <c r="K41" s="594"/>
      <c r="L41" s="594"/>
      <c r="M41" s="594"/>
      <c r="N41" s="594"/>
      <c r="O41" s="594"/>
    </row>
    <row r="42" spans="1:15" s="595" customFormat="1" ht="66" x14ac:dyDescent="0.25">
      <c r="A42" s="603"/>
      <c r="B42" s="605" t="s">
        <v>977</v>
      </c>
      <c r="C42" s="599"/>
      <c r="D42" s="598"/>
      <c r="E42" s="591"/>
      <c r="F42" s="591"/>
      <c r="G42" s="593"/>
      <c r="H42" s="588"/>
      <c r="I42" s="594"/>
      <c r="J42" s="594"/>
      <c r="K42" s="594"/>
      <c r="L42" s="594"/>
      <c r="M42" s="594"/>
      <c r="N42" s="594"/>
      <c r="O42" s="594"/>
    </row>
    <row r="43" spans="1:15" s="595" customFormat="1" x14ac:dyDescent="0.25">
      <c r="A43" s="603"/>
      <c r="B43" s="606" t="s">
        <v>978</v>
      </c>
      <c r="C43" s="599"/>
      <c r="D43" s="598"/>
      <c r="E43" s="591"/>
      <c r="F43" s="591"/>
      <c r="G43" s="593"/>
      <c r="H43" s="588"/>
      <c r="I43" s="594"/>
      <c r="J43" s="594"/>
      <c r="K43" s="594"/>
      <c r="L43" s="594"/>
      <c r="M43" s="594"/>
      <c r="N43" s="594"/>
      <c r="O43" s="594"/>
    </row>
    <row r="44" spans="1:15" s="595" customFormat="1" x14ac:dyDescent="0.25">
      <c r="A44" s="603"/>
      <c r="B44" s="606" t="s">
        <v>979</v>
      </c>
      <c r="C44" s="599"/>
      <c r="D44" s="598"/>
      <c r="E44" s="591"/>
      <c r="F44" s="591"/>
      <c r="G44" s="593"/>
      <c r="H44" s="588"/>
      <c r="I44" s="594"/>
      <c r="J44" s="594"/>
      <c r="K44" s="594"/>
      <c r="L44" s="594"/>
      <c r="M44" s="594"/>
      <c r="N44" s="594"/>
      <c r="O44" s="594"/>
    </row>
    <row r="45" spans="1:15" s="595" customFormat="1" x14ac:dyDescent="0.25">
      <c r="A45" s="603"/>
      <c r="B45" s="606" t="s">
        <v>980</v>
      </c>
      <c r="C45" s="599"/>
      <c r="D45" s="598"/>
      <c r="E45" s="591"/>
      <c r="F45" s="591"/>
      <c r="G45" s="593"/>
      <c r="H45" s="588"/>
      <c r="I45" s="594"/>
      <c r="J45" s="594"/>
      <c r="K45" s="594"/>
      <c r="L45" s="594"/>
      <c r="M45" s="594"/>
      <c r="N45" s="594"/>
      <c r="O45" s="594"/>
    </row>
    <row r="46" spans="1:15" s="595" customFormat="1" x14ac:dyDescent="0.25">
      <c r="A46" s="603"/>
      <c r="B46" s="606"/>
      <c r="C46" s="599"/>
      <c r="D46" s="598"/>
      <c r="E46" s="591"/>
      <c r="F46" s="591"/>
      <c r="G46" s="593"/>
      <c r="H46" s="588"/>
      <c r="I46" s="594"/>
      <c r="J46" s="594"/>
      <c r="K46" s="594"/>
      <c r="L46" s="594"/>
      <c r="M46" s="594"/>
      <c r="N46" s="594"/>
      <c r="O46" s="594"/>
    </row>
    <row r="47" spans="1:15" s="899" customFormat="1" ht="13.8" x14ac:dyDescent="0.25">
      <c r="A47" s="892" t="s">
        <v>1273</v>
      </c>
      <c r="B47" s="893" t="s">
        <v>1274</v>
      </c>
      <c r="C47" s="894"/>
      <c r="D47" s="895"/>
      <c r="E47" s="896"/>
      <c r="F47" s="896"/>
      <c r="G47" s="897"/>
      <c r="H47" s="898"/>
      <c r="I47" s="621"/>
      <c r="J47" s="621"/>
      <c r="K47" s="621"/>
      <c r="L47" s="621"/>
      <c r="M47" s="621"/>
      <c r="N47" s="621"/>
      <c r="O47" s="621"/>
    </row>
    <row r="48" spans="1:15" s="595" customFormat="1" x14ac:dyDescent="0.25">
      <c r="A48" s="603"/>
      <c r="B48" s="606"/>
      <c r="C48" s="610"/>
      <c r="D48" s="598"/>
      <c r="E48" s="591"/>
      <c r="F48" s="591"/>
      <c r="G48" s="593"/>
      <c r="H48" s="588"/>
      <c r="I48" s="594"/>
      <c r="J48" s="594"/>
      <c r="K48" s="594"/>
      <c r="L48" s="594"/>
      <c r="M48" s="594"/>
      <c r="N48" s="594"/>
      <c r="O48" s="594"/>
    </row>
    <row r="49" spans="1:15" s="595" customFormat="1" ht="92.4" x14ac:dyDescent="0.25">
      <c r="A49" s="603" t="s">
        <v>1275</v>
      </c>
      <c r="B49" s="605" t="s">
        <v>1281</v>
      </c>
      <c r="C49" s="900" t="e">
        <f>'m shet Miss premila'!#REF!</f>
        <v>#REF!</v>
      </c>
      <c r="D49" s="901" t="s">
        <v>1280</v>
      </c>
      <c r="E49" s="591" t="e">
        <f>#REF!</f>
        <v>#REF!</v>
      </c>
      <c r="F49" s="591" t="e">
        <f>E49*C49</f>
        <v>#REF!</v>
      </c>
      <c r="G49" s="593"/>
      <c r="H49" s="588"/>
      <c r="I49" s="594"/>
      <c r="J49" s="594"/>
      <c r="K49" s="594"/>
      <c r="L49" s="594"/>
      <c r="M49" s="594"/>
      <c r="N49" s="594"/>
      <c r="O49" s="594"/>
    </row>
    <row r="50" spans="1:15" s="595" customFormat="1" x14ac:dyDescent="0.25">
      <c r="A50" s="603"/>
      <c r="B50" s="605"/>
      <c r="C50" s="610"/>
      <c r="D50" s="598"/>
      <c r="E50" s="591"/>
      <c r="F50" s="591"/>
      <c r="G50" s="593"/>
      <c r="H50" s="588"/>
      <c r="I50" s="594"/>
      <c r="J50" s="594"/>
      <c r="K50" s="594"/>
      <c r="L50" s="594"/>
      <c r="M50" s="594"/>
      <c r="N50" s="594"/>
      <c r="O50" s="594"/>
    </row>
    <row r="51" spans="1:15" s="899" customFormat="1" ht="13.8" x14ac:dyDescent="0.25">
      <c r="A51" s="892" t="s">
        <v>1276</v>
      </c>
      <c r="B51" s="609" t="s">
        <v>1277</v>
      </c>
      <c r="C51" s="894"/>
      <c r="D51" s="895"/>
      <c r="E51" s="896"/>
      <c r="F51" s="896"/>
      <c r="G51" s="897"/>
      <c r="H51" s="898"/>
      <c r="I51" s="621"/>
      <c r="J51" s="621"/>
      <c r="K51" s="621"/>
      <c r="L51" s="621"/>
      <c r="M51" s="621"/>
      <c r="N51" s="621"/>
      <c r="O51" s="621"/>
    </row>
    <row r="52" spans="1:15" s="595" customFormat="1" x14ac:dyDescent="0.25">
      <c r="A52" s="603"/>
      <c r="B52" s="605"/>
      <c r="C52" s="610"/>
      <c r="D52" s="598"/>
      <c r="E52" s="591"/>
      <c r="F52" s="591"/>
      <c r="G52" s="593"/>
      <c r="H52" s="588"/>
      <c r="I52" s="594"/>
      <c r="J52" s="594"/>
      <c r="K52" s="594"/>
      <c r="L52" s="594"/>
      <c r="M52" s="594"/>
      <c r="N52" s="594"/>
      <c r="O52" s="594"/>
    </row>
    <row r="53" spans="1:15" s="595" customFormat="1" ht="105.6" x14ac:dyDescent="0.25">
      <c r="A53" s="603" t="s">
        <v>1278</v>
      </c>
      <c r="B53" s="607" t="s">
        <v>1282</v>
      </c>
      <c r="C53" s="900" t="e">
        <f>'m shet Miss premila'!#REF!</f>
        <v>#REF!</v>
      </c>
      <c r="D53" s="901" t="s">
        <v>1280</v>
      </c>
      <c r="E53" s="591" t="e">
        <f>E49</f>
        <v>#REF!</v>
      </c>
      <c r="F53" s="591" t="e">
        <f>E53*C53</f>
        <v>#REF!</v>
      </c>
      <c r="G53" s="593"/>
      <c r="H53" s="588"/>
      <c r="I53" s="594"/>
      <c r="J53" s="594"/>
      <c r="K53" s="594"/>
      <c r="L53" s="594"/>
      <c r="M53" s="594"/>
      <c r="N53" s="594"/>
      <c r="O53" s="594"/>
    </row>
    <row r="54" spans="1:15" s="595" customFormat="1" x14ac:dyDescent="0.25">
      <c r="A54" s="603"/>
      <c r="B54" s="605"/>
      <c r="C54" s="610"/>
      <c r="D54" s="598"/>
      <c r="E54" s="591"/>
      <c r="F54" s="591"/>
      <c r="G54" s="593"/>
      <c r="H54" s="588"/>
      <c r="I54" s="594"/>
      <c r="J54" s="594"/>
      <c r="K54" s="594"/>
      <c r="L54" s="594"/>
      <c r="M54" s="594"/>
      <c r="N54" s="594"/>
      <c r="O54" s="594"/>
    </row>
    <row r="55" spans="1:15" s="595" customFormat="1" ht="105.6" x14ac:dyDescent="0.25">
      <c r="A55" s="603" t="s">
        <v>1279</v>
      </c>
      <c r="B55" s="605" t="s">
        <v>1283</v>
      </c>
      <c r="C55" s="900" t="e">
        <f>'m shet Miss premila'!#REF!</f>
        <v>#REF!</v>
      </c>
      <c r="D55" s="901" t="s">
        <v>1280</v>
      </c>
      <c r="E55" s="591" t="e">
        <f>#REF!</f>
        <v>#REF!</v>
      </c>
      <c r="F55" s="591" t="e">
        <f>E55*C55</f>
        <v>#REF!</v>
      </c>
      <c r="G55" s="593"/>
      <c r="H55" s="588"/>
      <c r="I55" s="594"/>
      <c r="J55" s="594"/>
      <c r="K55" s="594"/>
      <c r="L55" s="594"/>
      <c r="M55" s="594"/>
      <c r="N55" s="594"/>
      <c r="O55" s="594"/>
    </row>
    <row r="56" spans="1:15" s="595" customFormat="1" ht="13.8" thickBot="1" x14ac:dyDescent="0.3">
      <c r="A56" s="603"/>
      <c r="B56" s="613"/>
      <c r="C56" s="610"/>
      <c r="D56" s="612"/>
      <c r="E56" s="611"/>
      <c r="F56" s="611"/>
      <c r="G56" s="593"/>
      <c r="H56" s="588"/>
      <c r="I56" s="594"/>
      <c r="J56" s="594"/>
      <c r="K56" s="594"/>
      <c r="L56" s="594"/>
      <c r="M56" s="594"/>
      <c r="N56" s="594"/>
      <c r="O56" s="594"/>
    </row>
    <row r="57" spans="1:15" s="595" customFormat="1" ht="31.2" x14ac:dyDescent="0.3">
      <c r="A57" s="600"/>
      <c r="B57" s="625" t="s">
        <v>1272</v>
      </c>
      <c r="C57" s="765"/>
      <c r="D57" s="626"/>
      <c r="E57" s="614"/>
      <c r="F57" s="601" t="e">
        <f>SUM(F43:F56)</f>
        <v>#REF!</v>
      </c>
      <c r="G57" s="593"/>
      <c r="H57" s="588" t="e">
        <f>F57/#REF!</f>
        <v>#REF!</v>
      </c>
      <c r="I57" s="594"/>
      <c r="J57" s="594"/>
      <c r="K57" s="594"/>
      <c r="L57" s="594"/>
      <c r="M57" s="594"/>
      <c r="N57" s="594"/>
      <c r="O57" s="594"/>
    </row>
    <row r="58" spans="1:15" s="590" customFormat="1" x14ac:dyDescent="0.25">
      <c r="A58" s="615"/>
      <c r="B58" s="616"/>
      <c r="C58" s="617"/>
      <c r="D58" s="618"/>
      <c r="E58" s="619"/>
      <c r="F58" s="619"/>
      <c r="G58" s="620"/>
      <c r="H58" s="588"/>
      <c r="I58" s="589"/>
      <c r="J58" s="589"/>
      <c r="K58" s="589"/>
      <c r="L58" s="621"/>
      <c r="M58" s="589"/>
      <c r="N58" s="589"/>
      <c r="O58" s="589"/>
    </row>
    <row r="59" spans="1:15" s="590" customFormat="1" x14ac:dyDescent="0.25">
      <c r="A59" s="615"/>
      <c r="B59" s="616"/>
      <c r="C59" s="617"/>
      <c r="D59" s="618"/>
      <c r="E59" s="619"/>
      <c r="F59" s="619"/>
      <c r="G59" s="620"/>
      <c r="H59" s="588"/>
      <c r="I59" s="589"/>
      <c r="J59" s="589"/>
      <c r="K59" s="589"/>
      <c r="L59" s="589"/>
      <c r="M59" s="589"/>
      <c r="N59" s="589"/>
      <c r="O59" s="589"/>
    </row>
    <row r="60" spans="1:15" s="590" customFormat="1" x14ac:dyDescent="0.25">
      <c r="A60" s="615"/>
      <c r="B60" s="616"/>
      <c r="C60" s="617"/>
      <c r="D60" s="618"/>
      <c r="E60" s="619"/>
      <c r="F60" s="619" t="e">
        <f>F57</f>
        <v>#REF!</v>
      </c>
      <c r="G60" s="620"/>
      <c r="H60" s="588"/>
      <c r="I60" s="589"/>
      <c r="J60" s="589"/>
      <c r="K60" s="589"/>
      <c r="L60" s="589"/>
      <c r="M60" s="589"/>
      <c r="N60" s="589"/>
      <c r="O60" s="589"/>
    </row>
    <row r="61" spans="1:15" s="590" customFormat="1" x14ac:dyDescent="0.25">
      <c r="A61" s="615"/>
      <c r="B61" s="616"/>
      <c r="C61" s="617"/>
      <c r="D61" s="618"/>
      <c r="E61" s="619"/>
      <c r="F61" s="619"/>
      <c r="G61" s="620"/>
      <c r="H61" s="588"/>
      <c r="I61" s="589"/>
      <c r="J61" s="589"/>
      <c r="K61" s="589"/>
      <c r="L61" s="589"/>
      <c r="M61" s="589"/>
      <c r="N61" s="589"/>
      <c r="O61" s="589"/>
    </row>
    <row r="62" spans="1:15" s="590" customFormat="1" x14ac:dyDescent="0.25">
      <c r="A62" s="615"/>
      <c r="B62" s="616"/>
      <c r="C62" s="617"/>
      <c r="D62" s="618"/>
      <c r="E62" s="619"/>
      <c r="F62" s="619"/>
      <c r="G62" s="620"/>
      <c r="H62" s="588"/>
      <c r="I62" s="589"/>
      <c r="J62" s="589"/>
      <c r="K62" s="589"/>
      <c r="L62" s="589"/>
      <c r="M62" s="589"/>
      <c r="N62" s="589"/>
      <c r="O62" s="589"/>
    </row>
    <row r="63" spans="1:15" s="590" customFormat="1" x14ac:dyDescent="0.25">
      <c r="A63" s="615"/>
      <c r="B63" s="616"/>
      <c r="C63" s="617"/>
      <c r="D63" s="618"/>
      <c r="E63" s="619"/>
      <c r="F63" s="619" t="e">
        <f>#REF!+#REF!</f>
        <v>#REF!</v>
      </c>
      <c r="G63" s="620"/>
      <c r="H63" s="588"/>
      <c r="I63" s="589"/>
      <c r="J63" s="589"/>
      <c r="K63" s="589"/>
      <c r="L63" s="589"/>
      <c r="M63" s="589"/>
      <c r="N63" s="589"/>
      <c r="O63" s="589"/>
    </row>
    <row r="64" spans="1:15" s="590" customFormat="1" x14ac:dyDescent="0.25">
      <c r="A64" s="615"/>
      <c r="B64" s="616"/>
      <c r="C64" s="617"/>
      <c r="D64" s="618"/>
      <c r="E64" s="619"/>
      <c r="F64" s="619" t="e">
        <f>F63*10.76</f>
        <v>#REF!</v>
      </c>
      <c r="G64" s="620"/>
      <c r="H64" s="588"/>
      <c r="I64" s="589"/>
      <c r="J64" s="589"/>
      <c r="K64" s="589"/>
      <c r="L64" s="589"/>
      <c r="M64" s="589"/>
      <c r="N64" s="589"/>
      <c r="O64" s="589"/>
    </row>
    <row r="65" spans="1:15" s="590" customFormat="1" x14ac:dyDescent="0.25">
      <c r="A65" s="615"/>
      <c r="B65" s="616"/>
      <c r="C65" s="617"/>
      <c r="D65" s="618"/>
      <c r="E65" s="619"/>
      <c r="F65" s="619"/>
      <c r="G65" s="620"/>
      <c r="H65" s="588"/>
      <c r="I65" s="589"/>
      <c r="J65" s="589"/>
      <c r="K65" s="589"/>
      <c r="L65" s="589"/>
      <c r="M65" s="589"/>
      <c r="N65" s="589"/>
      <c r="O65" s="589"/>
    </row>
    <row r="66" spans="1:15" s="590" customFormat="1" x14ac:dyDescent="0.25">
      <c r="A66" s="615"/>
      <c r="B66" s="616"/>
      <c r="C66" s="617"/>
      <c r="D66" s="618"/>
      <c r="E66" s="619"/>
      <c r="F66" s="619" t="e">
        <f>#REF!/F64</f>
        <v>#REF!</v>
      </c>
      <c r="G66" s="620"/>
      <c r="H66" s="588"/>
      <c r="I66" s="589"/>
      <c r="J66" s="589"/>
      <c r="K66" s="589"/>
      <c r="L66" s="589"/>
      <c r="M66" s="589"/>
      <c r="N66" s="589"/>
      <c r="O66" s="589"/>
    </row>
    <row r="67" spans="1:15" s="590" customFormat="1" x14ac:dyDescent="0.25">
      <c r="A67" s="615"/>
      <c r="B67" s="616"/>
      <c r="C67" s="617"/>
      <c r="D67" s="618"/>
      <c r="E67" s="619"/>
      <c r="F67" s="619"/>
      <c r="G67" s="620"/>
      <c r="H67" s="588"/>
      <c r="I67" s="589"/>
      <c r="J67" s="589"/>
      <c r="K67" s="589"/>
      <c r="L67" s="589"/>
      <c r="M67" s="589"/>
      <c r="N67" s="589"/>
      <c r="O67" s="589"/>
    </row>
    <row r="68" spans="1:15" s="590" customFormat="1" x14ac:dyDescent="0.25">
      <c r="A68" s="615"/>
      <c r="B68" s="616"/>
      <c r="C68" s="617"/>
      <c r="D68" s="618"/>
      <c r="E68" s="619"/>
      <c r="F68" s="619"/>
      <c r="G68" s="620"/>
      <c r="H68" s="588"/>
      <c r="I68" s="589"/>
      <c r="J68" s="589"/>
      <c r="K68" s="589"/>
      <c r="L68" s="589"/>
      <c r="M68" s="589"/>
      <c r="N68" s="589"/>
      <c r="O68" s="589"/>
    </row>
    <row r="69" spans="1:15" s="590" customFormat="1" x14ac:dyDescent="0.25">
      <c r="A69" s="615"/>
      <c r="B69" s="616"/>
      <c r="C69" s="617"/>
      <c r="D69" s="618"/>
      <c r="E69" s="619"/>
      <c r="F69" s="619"/>
      <c r="G69" s="620"/>
      <c r="H69" s="588"/>
      <c r="I69" s="589"/>
      <c r="J69" s="589"/>
      <c r="K69" s="589"/>
      <c r="L69" s="589"/>
      <c r="M69" s="589"/>
      <c r="N69" s="589"/>
      <c r="O69" s="589"/>
    </row>
    <row r="70" spans="1:15" s="590" customFormat="1" x14ac:dyDescent="0.25">
      <c r="A70" s="615"/>
      <c r="B70" s="616"/>
      <c r="C70" s="617"/>
      <c r="D70" s="618"/>
      <c r="E70" s="619"/>
      <c r="F70" s="619"/>
      <c r="G70" s="620"/>
      <c r="H70" s="588"/>
      <c r="I70" s="589"/>
      <c r="J70" s="589"/>
      <c r="K70" s="589"/>
      <c r="L70" s="589"/>
      <c r="M70" s="589"/>
      <c r="N70" s="589"/>
      <c r="O70" s="589"/>
    </row>
    <row r="71" spans="1:15" x14ac:dyDescent="0.25">
      <c r="L71" s="589"/>
    </row>
  </sheetData>
  <conditionalFormatting sqref="D57:E57">
    <cfRule type="cellIs" dxfId="0" priority="1" stopIfTrue="1" operator="equal">
      <formula>1</formula>
    </cfRule>
  </conditionalFormatting>
  <printOptions horizontalCentered="1"/>
  <pageMargins left="0.51181102362204722" right="0.35433070866141736" top="0.51181102362204722" bottom="0.70866141732283472" header="0.19685039370078741" footer="0.51181102362204722"/>
  <pageSetup paperSize="9" firstPageNumber="8" orientation="portrait" r:id="rId1"/>
  <headerFooter>
    <oddFooter>&amp;C&amp;8Bill 3 / Page &amp;P&amp;RC+Design(Pvt)Ltd</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
  <sheetViews>
    <sheetView workbookViewId="0"/>
  </sheetViews>
  <sheetFormatPr defaultRowHeight="13.2" x14ac:dyDescent="0.25"/>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0B050"/>
    <pageSetUpPr fitToPage="1"/>
  </sheetPr>
  <dimension ref="A1:W673"/>
  <sheetViews>
    <sheetView view="pageBreakPreview" topLeftCell="A289" zoomScale="85" zoomScaleNormal="70" zoomScaleSheetLayoutView="85" zoomScalePageLayoutView="115" workbookViewId="0">
      <selection activeCell="E561" sqref="E561"/>
    </sheetView>
  </sheetViews>
  <sheetFormatPr defaultRowHeight="13.8" x14ac:dyDescent="0.25"/>
  <cols>
    <col min="1" max="1" width="6.6640625" style="1091" customWidth="1"/>
    <col min="2" max="2" width="67.5546875" style="1092" customWidth="1"/>
    <col min="3" max="3" width="8.6640625" style="1090" customWidth="1"/>
    <col min="4" max="4" width="8.6640625" style="1093" customWidth="1"/>
    <col min="5" max="5" width="12.6640625" style="1094" customWidth="1"/>
    <col min="6" max="6" width="18" style="1095" customWidth="1"/>
    <col min="7" max="7" width="8.88671875" style="965"/>
    <col min="8" max="8" width="9.109375" style="1045" customWidth="1"/>
    <col min="9" max="248" width="8.88671875" style="1045"/>
    <col min="249" max="249" width="3" style="1045" customWidth="1"/>
    <col min="250" max="250" width="4.33203125" style="1045" customWidth="1"/>
    <col min="251" max="251" width="39.44140625" style="1045" customWidth="1"/>
    <col min="252" max="252" width="8.88671875" style="1045" customWidth="1"/>
    <col min="253" max="253" width="10.44140625" style="1045" customWidth="1"/>
    <col min="254" max="254" width="12.33203125" style="1045" customWidth="1"/>
    <col min="255" max="255" width="14.88671875" style="1045" customWidth="1"/>
    <col min="256" max="256" width="8.88671875" style="1045"/>
    <col min="257" max="257" width="14.33203125" style="1045" customWidth="1"/>
    <col min="258" max="258" width="8.88671875" style="1045"/>
    <col min="259" max="259" width="10.44140625" style="1045" customWidth="1"/>
    <col min="260" max="504" width="8.88671875" style="1045"/>
    <col min="505" max="505" width="3" style="1045" customWidth="1"/>
    <col min="506" max="506" width="4.33203125" style="1045" customWidth="1"/>
    <col min="507" max="507" width="39.44140625" style="1045" customWidth="1"/>
    <col min="508" max="508" width="8.88671875" style="1045" customWidth="1"/>
    <col min="509" max="509" width="10.44140625" style="1045" customWidth="1"/>
    <col min="510" max="510" width="12.33203125" style="1045" customWidth="1"/>
    <col min="511" max="511" width="14.88671875" style="1045" customWidth="1"/>
    <col min="512" max="512" width="8.88671875" style="1045"/>
    <col min="513" max="513" width="14.33203125" style="1045" customWidth="1"/>
    <col min="514" max="514" width="8.88671875" style="1045"/>
    <col min="515" max="515" width="10.44140625" style="1045" customWidth="1"/>
    <col min="516" max="760" width="8.88671875" style="1045"/>
    <col min="761" max="761" width="3" style="1045" customWidth="1"/>
    <col min="762" max="762" width="4.33203125" style="1045" customWidth="1"/>
    <col min="763" max="763" width="39.44140625" style="1045" customWidth="1"/>
    <col min="764" max="764" width="8.88671875" style="1045" customWidth="1"/>
    <col min="765" max="765" width="10.44140625" style="1045" customWidth="1"/>
    <col min="766" max="766" width="12.33203125" style="1045" customWidth="1"/>
    <col min="767" max="767" width="14.88671875" style="1045" customWidth="1"/>
    <col min="768" max="768" width="8.88671875" style="1045"/>
    <col min="769" max="769" width="14.33203125" style="1045" customWidth="1"/>
    <col min="770" max="770" width="8.88671875" style="1045"/>
    <col min="771" max="771" width="10.44140625" style="1045" customWidth="1"/>
    <col min="772" max="1016" width="8.88671875" style="1045"/>
    <col min="1017" max="1017" width="3" style="1045" customWidth="1"/>
    <col min="1018" max="1018" width="4.33203125" style="1045" customWidth="1"/>
    <col min="1019" max="1019" width="39.44140625" style="1045" customWidth="1"/>
    <col min="1020" max="1020" width="8.88671875" style="1045" customWidth="1"/>
    <col min="1021" max="1021" width="10.44140625" style="1045" customWidth="1"/>
    <col min="1022" max="1022" width="12.33203125" style="1045" customWidth="1"/>
    <col min="1023" max="1023" width="14.88671875" style="1045" customWidth="1"/>
    <col min="1024" max="1024" width="8.88671875" style="1045"/>
    <col min="1025" max="1025" width="14.33203125" style="1045" customWidth="1"/>
    <col min="1026" max="1026" width="8.88671875" style="1045"/>
    <col min="1027" max="1027" width="10.44140625" style="1045" customWidth="1"/>
    <col min="1028" max="1272" width="8.88671875" style="1045"/>
    <col min="1273" max="1273" width="3" style="1045" customWidth="1"/>
    <col min="1274" max="1274" width="4.33203125" style="1045" customWidth="1"/>
    <col min="1275" max="1275" width="39.44140625" style="1045" customWidth="1"/>
    <col min="1276" max="1276" width="8.88671875" style="1045" customWidth="1"/>
    <col min="1277" max="1277" width="10.44140625" style="1045" customWidth="1"/>
    <col min="1278" max="1278" width="12.33203125" style="1045" customWidth="1"/>
    <col min="1279" max="1279" width="14.88671875" style="1045" customWidth="1"/>
    <col min="1280" max="1280" width="8.88671875" style="1045"/>
    <col min="1281" max="1281" width="14.33203125" style="1045" customWidth="1"/>
    <col min="1282" max="1282" width="8.88671875" style="1045"/>
    <col min="1283" max="1283" width="10.44140625" style="1045" customWidth="1"/>
    <col min="1284" max="1528" width="8.88671875" style="1045"/>
    <col min="1529" max="1529" width="3" style="1045" customWidth="1"/>
    <col min="1530" max="1530" width="4.33203125" style="1045" customWidth="1"/>
    <col min="1531" max="1531" width="39.44140625" style="1045" customWidth="1"/>
    <col min="1532" max="1532" width="8.88671875" style="1045" customWidth="1"/>
    <col min="1533" max="1533" width="10.44140625" style="1045" customWidth="1"/>
    <col min="1534" max="1534" width="12.33203125" style="1045" customWidth="1"/>
    <col min="1535" max="1535" width="14.88671875" style="1045" customWidth="1"/>
    <col min="1536" max="1536" width="8.88671875" style="1045"/>
    <col min="1537" max="1537" width="14.33203125" style="1045" customWidth="1"/>
    <col min="1538" max="1538" width="8.88671875" style="1045"/>
    <col min="1539" max="1539" width="10.44140625" style="1045" customWidth="1"/>
    <col min="1540" max="1784" width="8.88671875" style="1045"/>
    <col min="1785" max="1785" width="3" style="1045" customWidth="1"/>
    <col min="1786" max="1786" width="4.33203125" style="1045" customWidth="1"/>
    <col min="1787" max="1787" width="39.44140625" style="1045" customWidth="1"/>
    <col min="1788" max="1788" width="8.88671875" style="1045" customWidth="1"/>
    <col min="1789" max="1789" width="10.44140625" style="1045" customWidth="1"/>
    <col min="1790" max="1790" width="12.33203125" style="1045" customWidth="1"/>
    <col min="1791" max="1791" width="14.88671875" style="1045" customWidth="1"/>
    <col min="1792" max="1792" width="8.88671875" style="1045"/>
    <col min="1793" max="1793" width="14.33203125" style="1045" customWidth="1"/>
    <col min="1794" max="1794" width="8.88671875" style="1045"/>
    <col min="1795" max="1795" width="10.44140625" style="1045" customWidth="1"/>
    <col min="1796" max="2040" width="8.88671875" style="1045"/>
    <col min="2041" max="2041" width="3" style="1045" customWidth="1"/>
    <col min="2042" max="2042" width="4.33203125" style="1045" customWidth="1"/>
    <col min="2043" max="2043" width="39.44140625" style="1045" customWidth="1"/>
    <col min="2044" max="2044" width="8.88671875" style="1045" customWidth="1"/>
    <col min="2045" max="2045" width="10.44140625" style="1045" customWidth="1"/>
    <col min="2046" max="2046" width="12.33203125" style="1045" customWidth="1"/>
    <col min="2047" max="2047" width="14.88671875" style="1045" customWidth="1"/>
    <col min="2048" max="2048" width="8.88671875" style="1045"/>
    <col min="2049" max="2049" width="14.33203125" style="1045" customWidth="1"/>
    <col min="2050" max="2050" width="8.88671875" style="1045"/>
    <col min="2051" max="2051" width="10.44140625" style="1045" customWidth="1"/>
    <col min="2052" max="2296" width="8.88671875" style="1045"/>
    <col min="2297" max="2297" width="3" style="1045" customWidth="1"/>
    <col min="2298" max="2298" width="4.33203125" style="1045" customWidth="1"/>
    <col min="2299" max="2299" width="39.44140625" style="1045" customWidth="1"/>
    <col min="2300" max="2300" width="8.88671875" style="1045" customWidth="1"/>
    <col min="2301" max="2301" width="10.44140625" style="1045" customWidth="1"/>
    <col min="2302" max="2302" width="12.33203125" style="1045" customWidth="1"/>
    <col min="2303" max="2303" width="14.88671875" style="1045" customWidth="1"/>
    <col min="2304" max="2304" width="8.88671875" style="1045"/>
    <col min="2305" max="2305" width="14.33203125" style="1045" customWidth="1"/>
    <col min="2306" max="2306" width="8.88671875" style="1045"/>
    <col min="2307" max="2307" width="10.44140625" style="1045" customWidth="1"/>
    <col min="2308" max="2552" width="8.88671875" style="1045"/>
    <col min="2553" max="2553" width="3" style="1045" customWidth="1"/>
    <col min="2554" max="2554" width="4.33203125" style="1045" customWidth="1"/>
    <col min="2555" max="2555" width="39.44140625" style="1045" customWidth="1"/>
    <col min="2556" max="2556" width="8.88671875" style="1045" customWidth="1"/>
    <col min="2557" max="2557" width="10.44140625" style="1045" customWidth="1"/>
    <col min="2558" max="2558" width="12.33203125" style="1045" customWidth="1"/>
    <col min="2559" max="2559" width="14.88671875" style="1045" customWidth="1"/>
    <col min="2560" max="2560" width="8.88671875" style="1045"/>
    <col min="2561" max="2561" width="14.33203125" style="1045" customWidth="1"/>
    <col min="2562" max="2562" width="8.88671875" style="1045"/>
    <col min="2563" max="2563" width="10.44140625" style="1045" customWidth="1"/>
    <col min="2564" max="2808" width="8.88671875" style="1045"/>
    <col min="2809" max="2809" width="3" style="1045" customWidth="1"/>
    <col min="2810" max="2810" width="4.33203125" style="1045" customWidth="1"/>
    <col min="2811" max="2811" width="39.44140625" style="1045" customWidth="1"/>
    <col min="2812" max="2812" width="8.88671875" style="1045" customWidth="1"/>
    <col min="2813" max="2813" width="10.44140625" style="1045" customWidth="1"/>
    <col min="2814" max="2814" width="12.33203125" style="1045" customWidth="1"/>
    <col min="2815" max="2815" width="14.88671875" style="1045" customWidth="1"/>
    <col min="2816" max="2816" width="8.88671875" style="1045"/>
    <col min="2817" max="2817" width="14.33203125" style="1045" customWidth="1"/>
    <col min="2818" max="2818" width="8.88671875" style="1045"/>
    <col min="2819" max="2819" width="10.44140625" style="1045" customWidth="1"/>
    <col min="2820" max="3064" width="8.88671875" style="1045"/>
    <col min="3065" max="3065" width="3" style="1045" customWidth="1"/>
    <col min="3066" max="3066" width="4.33203125" style="1045" customWidth="1"/>
    <col min="3067" max="3067" width="39.44140625" style="1045" customWidth="1"/>
    <col min="3068" max="3068" width="8.88671875" style="1045" customWidth="1"/>
    <col min="3069" max="3069" width="10.44140625" style="1045" customWidth="1"/>
    <col min="3070" max="3070" width="12.33203125" style="1045" customWidth="1"/>
    <col min="3071" max="3071" width="14.88671875" style="1045" customWidth="1"/>
    <col min="3072" max="3072" width="8.88671875" style="1045"/>
    <col min="3073" max="3073" width="14.33203125" style="1045" customWidth="1"/>
    <col min="3074" max="3074" width="8.88671875" style="1045"/>
    <col min="3075" max="3075" width="10.44140625" style="1045" customWidth="1"/>
    <col min="3076" max="3320" width="8.88671875" style="1045"/>
    <col min="3321" max="3321" width="3" style="1045" customWidth="1"/>
    <col min="3322" max="3322" width="4.33203125" style="1045" customWidth="1"/>
    <col min="3323" max="3323" width="39.44140625" style="1045" customWidth="1"/>
    <col min="3324" max="3324" width="8.88671875" style="1045" customWidth="1"/>
    <col min="3325" max="3325" width="10.44140625" style="1045" customWidth="1"/>
    <col min="3326" max="3326" width="12.33203125" style="1045" customWidth="1"/>
    <col min="3327" max="3327" width="14.88671875" style="1045" customWidth="1"/>
    <col min="3328" max="3328" width="8.88671875" style="1045"/>
    <col min="3329" max="3329" width="14.33203125" style="1045" customWidth="1"/>
    <col min="3330" max="3330" width="8.88671875" style="1045"/>
    <col min="3331" max="3331" width="10.44140625" style="1045" customWidth="1"/>
    <col min="3332" max="3576" width="8.88671875" style="1045"/>
    <col min="3577" max="3577" width="3" style="1045" customWidth="1"/>
    <col min="3578" max="3578" width="4.33203125" style="1045" customWidth="1"/>
    <col min="3579" max="3579" width="39.44140625" style="1045" customWidth="1"/>
    <col min="3580" max="3580" width="8.88671875" style="1045" customWidth="1"/>
    <col min="3581" max="3581" width="10.44140625" style="1045" customWidth="1"/>
    <col min="3582" max="3582" width="12.33203125" style="1045" customWidth="1"/>
    <col min="3583" max="3583" width="14.88671875" style="1045" customWidth="1"/>
    <col min="3584" max="3584" width="8.88671875" style="1045"/>
    <col min="3585" max="3585" width="14.33203125" style="1045" customWidth="1"/>
    <col min="3586" max="3586" width="8.88671875" style="1045"/>
    <col min="3587" max="3587" width="10.44140625" style="1045" customWidth="1"/>
    <col min="3588" max="3832" width="8.88671875" style="1045"/>
    <col min="3833" max="3833" width="3" style="1045" customWidth="1"/>
    <col min="3834" max="3834" width="4.33203125" style="1045" customWidth="1"/>
    <col min="3835" max="3835" width="39.44140625" style="1045" customWidth="1"/>
    <col min="3836" max="3836" width="8.88671875" style="1045" customWidth="1"/>
    <col min="3837" max="3837" width="10.44140625" style="1045" customWidth="1"/>
    <col min="3838" max="3838" width="12.33203125" style="1045" customWidth="1"/>
    <col min="3839" max="3839" width="14.88671875" style="1045" customWidth="1"/>
    <col min="3840" max="3840" width="8.88671875" style="1045"/>
    <col min="3841" max="3841" width="14.33203125" style="1045" customWidth="1"/>
    <col min="3842" max="3842" width="8.88671875" style="1045"/>
    <col min="3843" max="3843" width="10.44140625" style="1045" customWidth="1"/>
    <col min="3844" max="4088" width="8.88671875" style="1045"/>
    <col min="4089" max="4089" width="3" style="1045" customWidth="1"/>
    <col min="4090" max="4090" width="4.33203125" style="1045" customWidth="1"/>
    <col min="4091" max="4091" width="39.44140625" style="1045" customWidth="1"/>
    <col min="4092" max="4092" width="8.88671875" style="1045" customWidth="1"/>
    <col min="4093" max="4093" width="10.44140625" style="1045" customWidth="1"/>
    <col min="4094" max="4094" width="12.33203125" style="1045" customWidth="1"/>
    <col min="4095" max="4095" width="14.88671875" style="1045" customWidth="1"/>
    <col min="4096" max="4096" width="8.88671875" style="1045"/>
    <col min="4097" max="4097" width="14.33203125" style="1045" customWidth="1"/>
    <col min="4098" max="4098" width="8.88671875" style="1045"/>
    <col min="4099" max="4099" width="10.44140625" style="1045" customWidth="1"/>
    <col min="4100" max="4344" width="8.88671875" style="1045"/>
    <col min="4345" max="4345" width="3" style="1045" customWidth="1"/>
    <col min="4346" max="4346" width="4.33203125" style="1045" customWidth="1"/>
    <col min="4347" max="4347" width="39.44140625" style="1045" customWidth="1"/>
    <col min="4348" max="4348" width="8.88671875" style="1045" customWidth="1"/>
    <col min="4349" max="4349" width="10.44140625" style="1045" customWidth="1"/>
    <col min="4350" max="4350" width="12.33203125" style="1045" customWidth="1"/>
    <col min="4351" max="4351" width="14.88671875" style="1045" customWidth="1"/>
    <col min="4352" max="4352" width="8.88671875" style="1045"/>
    <col min="4353" max="4353" width="14.33203125" style="1045" customWidth="1"/>
    <col min="4354" max="4354" width="8.88671875" style="1045"/>
    <col min="4355" max="4355" width="10.44140625" style="1045" customWidth="1"/>
    <col min="4356" max="4600" width="8.88671875" style="1045"/>
    <col min="4601" max="4601" width="3" style="1045" customWidth="1"/>
    <col min="4602" max="4602" width="4.33203125" style="1045" customWidth="1"/>
    <col min="4603" max="4603" width="39.44140625" style="1045" customWidth="1"/>
    <col min="4604" max="4604" width="8.88671875" style="1045" customWidth="1"/>
    <col min="4605" max="4605" width="10.44140625" style="1045" customWidth="1"/>
    <col min="4606" max="4606" width="12.33203125" style="1045" customWidth="1"/>
    <col min="4607" max="4607" width="14.88671875" style="1045" customWidth="1"/>
    <col min="4608" max="4608" width="8.88671875" style="1045"/>
    <col min="4609" max="4609" width="14.33203125" style="1045" customWidth="1"/>
    <col min="4610" max="4610" width="8.88671875" style="1045"/>
    <col min="4611" max="4611" width="10.44140625" style="1045" customWidth="1"/>
    <col min="4612" max="4856" width="8.88671875" style="1045"/>
    <col min="4857" max="4857" width="3" style="1045" customWidth="1"/>
    <col min="4858" max="4858" width="4.33203125" style="1045" customWidth="1"/>
    <col min="4859" max="4859" width="39.44140625" style="1045" customWidth="1"/>
    <col min="4860" max="4860" width="8.88671875" style="1045" customWidth="1"/>
    <col min="4861" max="4861" width="10.44140625" style="1045" customWidth="1"/>
    <col min="4862" max="4862" width="12.33203125" style="1045" customWidth="1"/>
    <col min="4863" max="4863" width="14.88671875" style="1045" customWidth="1"/>
    <col min="4864" max="4864" width="8.88671875" style="1045"/>
    <col min="4865" max="4865" width="14.33203125" style="1045" customWidth="1"/>
    <col min="4866" max="4866" width="8.88671875" style="1045"/>
    <col min="4867" max="4867" width="10.44140625" style="1045" customWidth="1"/>
    <col min="4868" max="5112" width="8.88671875" style="1045"/>
    <col min="5113" max="5113" width="3" style="1045" customWidth="1"/>
    <col min="5114" max="5114" width="4.33203125" style="1045" customWidth="1"/>
    <col min="5115" max="5115" width="39.44140625" style="1045" customWidth="1"/>
    <col min="5116" max="5116" width="8.88671875" style="1045" customWidth="1"/>
    <col min="5117" max="5117" width="10.44140625" style="1045" customWidth="1"/>
    <col min="5118" max="5118" width="12.33203125" style="1045" customWidth="1"/>
    <col min="5119" max="5119" width="14.88671875" style="1045" customWidth="1"/>
    <col min="5120" max="5120" width="8.88671875" style="1045"/>
    <col min="5121" max="5121" width="14.33203125" style="1045" customWidth="1"/>
    <col min="5122" max="5122" width="8.88671875" style="1045"/>
    <col min="5123" max="5123" width="10.44140625" style="1045" customWidth="1"/>
    <col min="5124" max="5368" width="8.88671875" style="1045"/>
    <col min="5369" max="5369" width="3" style="1045" customWidth="1"/>
    <col min="5370" max="5370" width="4.33203125" style="1045" customWidth="1"/>
    <col min="5371" max="5371" width="39.44140625" style="1045" customWidth="1"/>
    <col min="5372" max="5372" width="8.88671875" style="1045" customWidth="1"/>
    <col min="5373" max="5373" width="10.44140625" style="1045" customWidth="1"/>
    <col min="5374" max="5374" width="12.33203125" style="1045" customWidth="1"/>
    <col min="5375" max="5375" width="14.88671875" style="1045" customWidth="1"/>
    <col min="5376" max="5376" width="8.88671875" style="1045"/>
    <col min="5377" max="5377" width="14.33203125" style="1045" customWidth="1"/>
    <col min="5378" max="5378" width="8.88671875" style="1045"/>
    <col min="5379" max="5379" width="10.44140625" style="1045" customWidth="1"/>
    <col min="5380" max="5624" width="8.88671875" style="1045"/>
    <col min="5625" max="5625" width="3" style="1045" customWidth="1"/>
    <col min="5626" max="5626" width="4.33203125" style="1045" customWidth="1"/>
    <col min="5627" max="5627" width="39.44140625" style="1045" customWidth="1"/>
    <col min="5628" max="5628" width="8.88671875" style="1045" customWidth="1"/>
    <col min="5629" max="5629" width="10.44140625" style="1045" customWidth="1"/>
    <col min="5630" max="5630" width="12.33203125" style="1045" customWidth="1"/>
    <col min="5631" max="5631" width="14.88671875" style="1045" customWidth="1"/>
    <col min="5632" max="5632" width="8.88671875" style="1045"/>
    <col min="5633" max="5633" width="14.33203125" style="1045" customWidth="1"/>
    <col min="5634" max="5634" width="8.88671875" style="1045"/>
    <col min="5635" max="5635" width="10.44140625" style="1045" customWidth="1"/>
    <col min="5636" max="5880" width="8.88671875" style="1045"/>
    <col min="5881" max="5881" width="3" style="1045" customWidth="1"/>
    <col min="5882" max="5882" width="4.33203125" style="1045" customWidth="1"/>
    <col min="5883" max="5883" width="39.44140625" style="1045" customWidth="1"/>
    <col min="5884" max="5884" width="8.88671875" style="1045" customWidth="1"/>
    <col min="5885" max="5885" width="10.44140625" style="1045" customWidth="1"/>
    <col min="5886" max="5886" width="12.33203125" style="1045" customWidth="1"/>
    <col min="5887" max="5887" width="14.88671875" style="1045" customWidth="1"/>
    <col min="5888" max="5888" width="8.88671875" style="1045"/>
    <col min="5889" max="5889" width="14.33203125" style="1045" customWidth="1"/>
    <col min="5890" max="5890" width="8.88671875" style="1045"/>
    <col min="5891" max="5891" width="10.44140625" style="1045" customWidth="1"/>
    <col min="5892" max="6136" width="8.88671875" style="1045"/>
    <col min="6137" max="6137" width="3" style="1045" customWidth="1"/>
    <col min="6138" max="6138" width="4.33203125" style="1045" customWidth="1"/>
    <col min="6139" max="6139" width="39.44140625" style="1045" customWidth="1"/>
    <col min="6140" max="6140" width="8.88671875" style="1045" customWidth="1"/>
    <col min="6141" max="6141" width="10.44140625" style="1045" customWidth="1"/>
    <col min="6142" max="6142" width="12.33203125" style="1045" customWidth="1"/>
    <col min="6143" max="6143" width="14.88671875" style="1045" customWidth="1"/>
    <col min="6144" max="6144" width="8.88671875" style="1045"/>
    <col min="6145" max="6145" width="14.33203125" style="1045" customWidth="1"/>
    <col min="6146" max="6146" width="8.88671875" style="1045"/>
    <col min="6147" max="6147" width="10.44140625" style="1045" customWidth="1"/>
    <col min="6148" max="6392" width="8.88671875" style="1045"/>
    <col min="6393" max="6393" width="3" style="1045" customWidth="1"/>
    <col min="6394" max="6394" width="4.33203125" style="1045" customWidth="1"/>
    <col min="6395" max="6395" width="39.44140625" style="1045" customWidth="1"/>
    <col min="6396" max="6396" width="8.88671875" style="1045" customWidth="1"/>
    <col min="6397" max="6397" width="10.44140625" style="1045" customWidth="1"/>
    <col min="6398" max="6398" width="12.33203125" style="1045" customWidth="1"/>
    <col min="6399" max="6399" width="14.88671875" style="1045" customWidth="1"/>
    <col min="6400" max="6400" width="8.88671875" style="1045"/>
    <col min="6401" max="6401" width="14.33203125" style="1045" customWidth="1"/>
    <col min="6402" max="6402" width="8.88671875" style="1045"/>
    <col min="6403" max="6403" width="10.44140625" style="1045" customWidth="1"/>
    <col min="6404" max="6648" width="8.88671875" style="1045"/>
    <col min="6649" max="6649" width="3" style="1045" customWidth="1"/>
    <col min="6650" max="6650" width="4.33203125" style="1045" customWidth="1"/>
    <col min="6651" max="6651" width="39.44140625" style="1045" customWidth="1"/>
    <col min="6652" max="6652" width="8.88671875" style="1045" customWidth="1"/>
    <col min="6653" max="6653" width="10.44140625" style="1045" customWidth="1"/>
    <col min="6654" max="6654" width="12.33203125" style="1045" customWidth="1"/>
    <col min="6655" max="6655" width="14.88671875" style="1045" customWidth="1"/>
    <col min="6656" max="6656" width="8.88671875" style="1045"/>
    <col min="6657" max="6657" width="14.33203125" style="1045" customWidth="1"/>
    <col min="6658" max="6658" width="8.88671875" style="1045"/>
    <col min="6659" max="6659" width="10.44140625" style="1045" customWidth="1"/>
    <col min="6660" max="6904" width="8.88671875" style="1045"/>
    <col min="6905" max="6905" width="3" style="1045" customWidth="1"/>
    <col min="6906" max="6906" width="4.33203125" style="1045" customWidth="1"/>
    <col min="6907" max="6907" width="39.44140625" style="1045" customWidth="1"/>
    <col min="6908" max="6908" width="8.88671875" style="1045" customWidth="1"/>
    <col min="6909" max="6909" width="10.44140625" style="1045" customWidth="1"/>
    <col min="6910" max="6910" width="12.33203125" style="1045" customWidth="1"/>
    <col min="6911" max="6911" width="14.88671875" style="1045" customWidth="1"/>
    <col min="6912" max="6912" width="8.88671875" style="1045"/>
    <col min="6913" max="6913" width="14.33203125" style="1045" customWidth="1"/>
    <col min="6914" max="6914" width="8.88671875" style="1045"/>
    <col min="6915" max="6915" width="10.44140625" style="1045" customWidth="1"/>
    <col min="6916" max="7160" width="8.88671875" style="1045"/>
    <col min="7161" max="7161" width="3" style="1045" customWidth="1"/>
    <col min="7162" max="7162" width="4.33203125" style="1045" customWidth="1"/>
    <col min="7163" max="7163" width="39.44140625" style="1045" customWidth="1"/>
    <col min="7164" max="7164" width="8.88671875" style="1045" customWidth="1"/>
    <col min="7165" max="7165" width="10.44140625" style="1045" customWidth="1"/>
    <col min="7166" max="7166" width="12.33203125" style="1045" customWidth="1"/>
    <col min="7167" max="7167" width="14.88671875" style="1045" customWidth="1"/>
    <col min="7168" max="7168" width="8.88671875" style="1045"/>
    <col min="7169" max="7169" width="14.33203125" style="1045" customWidth="1"/>
    <col min="7170" max="7170" width="8.88671875" style="1045"/>
    <col min="7171" max="7171" width="10.44140625" style="1045" customWidth="1"/>
    <col min="7172" max="7416" width="8.88671875" style="1045"/>
    <col min="7417" max="7417" width="3" style="1045" customWidth="1"/>
    <col min="7418" max="7418" width="4.33203125" style="1045" customWidth="1"/>
    <col min="7419" max="7419" width="39.44140625" style="1045" customWidth="1"/>
    <col min="7420" max="7420" width="8.88671875" style="1045" customWidth="1"/>
    <col min="7421" max="7421" width="10.44140625" style="1045" customWidth="1"/>
    <col min="7422" max="7422" width="12.33203125" style="1045" customWidth="1"/>
    <col min="7423" max="7423" width="14.88671875" style="1045" customWidth="1"/>
    <col min="7424" max="7424" width="8.88671875" style="1045"/>
    <col min="7425" max="7425" width="14.33203125" style="1045" customWidth="1"/>
    <col min="7426" max="7426" width="8.88671875" style="1045"/>
    <col min="7427" max="7427" width="10.44140625" style="1045" customWidth="1"/>
    <col min="7428" max="7672" width="8.88671875" style="1045"/>
    <col min="7673" max="7673" width="3" style="1045" customWidth="1"/>
    <col min="7674" max="7674" width="4.33203125" style="1045" customWidth="1"/>
    <col min="7675" max="7675" width="39.44140625" style="1045" customWidth="1"/>
    <col min="7676" max="7676" width="8.88671875" style="1045" customWidth="1"/>
    <col min="7677" max="7677" width="10.44140625" style="1045" customWidth="1"/>
    <col min="7678" max="7678" width="12.33203125" style="1045" customWidth="1"/>
    <col min="7679" max="7679" width="14.88671875" style="1045" customWidth="1"/>
    <col min="7680" max="7680" width="8.88671875" style="1045"/>
    <col min="7681" max="7681" width="14.33203125" style="1045" customWidth="1"/>
    <col min="7682" max="7682" width="8.88671875" style="1045"/>
    <col min="7683" max="7683" width="10.44140625" style="1045" customWidth="1"/>
    <col min="7684" max="7928" width="8.88671875" style="1045"/>
    <col min="7929" max="7929" width="3" style="1045" customWidth="1"/>
    <col min="7930" max="7930" width="4.33203125" style="1045" customWidth="1"/>
    <col min="7931" max="7931" width="39.44140625" style="1045" customWidth="1"/>
    <col min="7932" max="7932" width="8.88671875" style="1045" customWidth="1"/>
    <col min="7933" max="7933" width="10.44140625" style="1045" customWidth="1"/>
    <col min="7934" max="7934" width="12.33203125" style="1045" customWidth="1"/>
    <col min="7935" max="7935" width="14.88671875" style="1045" customWidth="1"/>
    <col min="7936" max="7936" width="8.88671875" style="1045"/>
    <col min="7937" max="7937" width="14.33203125" style="1045" customWidth="1"/>
    <col min="7938" max="7938" width="8.88671875" style="1045"/>
    <col min="7939" max="7939" width="10.44140625" style="1045" customWidth="1"/>
    <col min="7940" max="8184" width="8.88671875" style="1045"/>
    <col min="8185" max="8185" width="3" style="1045" customWidth="1"/>
    <col min="8186" max="8186" width="4.33203125" style="1045" customWidth="1"/>
    <col min="8187" max="8187" width="39.44140625" style="1045" customWidth="1"/>
    <col min="8188" max="8188" width="8.88671875" style="1045" customWidth="1"/>
    <col min="8189" max="8189" width="10.44140625" style="1045" customWidth="1"/>
    <col min="8190" max="8190" width="12.33203125" style="1045" customWidth="1"/>
    <col min="8191" max="8191" width="14.88671875" style="1045" customWidth="1"/>
    <col min="8192" max="8192" width="8.88671875" style="1045"/>
    <col min="8193" max="8193" width="14.33203125" style="1045" customWidth="1"/>
    <col min="8194" max="8194" width="8.88671875" style="1045"/>
    <col min="8195" max="8195" width="10.44140625" style="1045" customWidth="1"/>
    <col min="8196" max="8440" width="8.88671875" style="1045"/>
    <col min="8441" max="8441" width="3" style="1045" customWidth="1"/>
    <col min="8442" max="8442" width="4.33203125" style="1045" customWidth="1"/>
    <col min="8443" max="8443" width="39.44140625" style="1045" customWidth="1"/>
    <col min="8444" max="8444" width="8.88671875" style="1045" customWidth="1"/>
    <col min="8445" max="8445" width="10.44140625" style="1045" customWidth="1"/>
    <col min="8446" max="8446" width="12.33203125" style="1045" customWidth="1"/>
    <col min="8447" max="8447" width="14.88671875" style="1045" customWidth="1"/>
    <col min="8448" max="8448" width="8.88671875" style="1045"/>
    <col min="8449" max="8449" width="14.33203125" style="1045" customWidth="1"/>
    <col min="8450" max="8450" width="8.88671875" style="1045"/>
    <col min="8451" max="8451" width="10.44140625" style="1045" customWidth="1"/>
    <col min="8452" max="8696" width="8.88671875" style="1045"/>
    <col min="8697" max="8697" width="3" style="1045" customWidth="1"/>
    <col min="8698" max="8698" width="4.33203125" style="1045" customWidth="1"/>
    <col min="8699" max="8699" width="39.44140625" style="1045" customWidth="1"/>
    <col min="8700" max="8700" width="8.88671875" style="1045" customWidth="1"/>
    <col min="8701" max="8701" width="10.44140625" style="1045" customWidth="1"/>
    <col min="8702" max="8702" width="12.33203125" style="1045" customWidth="1"/>
    <col min="8703" max="8703" width="14.88671875" style="1045" customWidth="1"/>
    <col min="8704" max="8704" width="8.88671875" style="1045"/>
    <col min="8705" max="8705" width="14.33203125" style="1045" customWidth="1"/>
    <col min="8706" max="8706" width="8.88671875" style="1045"/>
    <col min="8707" max="8707" width="10.44140625" style="1045" customWidth="1"/>
    <col min="8708" max="8952" width="8.88671875" style="1045"/>
    <col min="8953" max="8953" width="3" style="1045" customWidth="1"/>
    <col min="8954" max="8954" width="4.33203125" style="1045" customWidth="1"/>
    <col min="8955" max="8955" width="39.44140625" style="1045" customWidth="1"/>
    <col min="8956" max="8956" width="8.88671875" style="1045" customWidth="1"/>
    <col min="8957" max="8957" width="10.44140625" style="1045" customWidth="1"/>
    <col min="8958" max="8958" width="12.33203125" style="1045" customWidth="1"/>
    <col min="8959" max="8959" width="14.88671875" style="1045" customWidth="1"/>
    <col min="8960" max="8960" width="8.88671875" style="1045"/>
    <col min="8961" max="8961" width="14.33203125" style="1045" customWidth="1"/>
    <col min="8962" max="8962" width="8.88671875" style="1045"/>
    <col min="8963" max="8963" width="10.44140625" style="1045" customWidth="1"/>
    <col min="8964" max="9208" width="8.88671875" style="1045"/>
    <col min="9209" max="9209" width="3" style="1045" customWidth="1"/>
    <col min="9210" max="9210" width="4.33203125" style="1045" customWidth="1"/>
    <col min="9211" max="9211" width="39.44140625" style="1045" customWidth="1"/>
    <col min="9212" max="9212" width="8.88671875" style="1045" customWidth="1"/>
    <col min="9213" max="9213" width="10.44140625" style="1045" customWidth="1"/>
    <col min="9214" max="9214" width="12.33203125" style="1045" customWidth="1"/>
    <col min="9215" max="9215" width="14.88671875" style="1045" customWidth="1"/>
    <col min="9216" max="9216" width="8.88671875" style="1045"/>
    <col min="9217" max="9217" width="14.33203125" style="1045" customWidth="1"/>
    <col min="9218" max="9218" width="8.88671875" style="1045"/>
    <col min="9219" max="9219" width="10.44140625" style="1045" customWidth="1"/>
    <col min="9220" max="9464" width="8.88671875" style="1045"/>
    <col min="9465" max="9465" width="3" style="1045" customWidth="1"/>
    <col min="9466" max="9466" width="4.33203125" style="1045" customWidth="1"/>
    <col min="9467" max="9467" width="39.44140625" style="1045" customWidth="1"/>
    <col min="9468" max="9468" width="8.88671875" style="1045" customWidth="1"/>
    <col min="9469" max="9469" width="10.44140625" style="1045" customWidth="1"/>
    <col min="9470" max="9470" width="12.33203125" style="1045" customWidth="1"/>
    <col min="9471" max="9471" width="14.88671875" style="1045" customWidth="1"/>
    <col min="9472" max="9472" width="8.88671875" style="1045"/>
    <col min="9473" max="9473" width="14.33203125" style="1045" customWidth="1"/>
    <col min="9474" max="9474" width="8.88671875" style="1045"/>
    <col min="9475" max="9475" width="10.44140625" style="1045" customWidth="1"/>
    <col min="9476" max="9720" width="8.88671875" style="1045"/>
    <col min="9721" max="9721" width="3" style="1045" customWidth="1"/>
    <col min="9722" max="9722" width="4.33203125" style="1045" customWidth="1"/>
    <col min="9723" max="9723" width="39.44140625" style="1045" customWidth="1"/>
    <col min="9724" max="9724" width="8.88671875" style="1045" customWidth="1"/>
    <col min="9725" max="9725" width="10.44140625" style="1045" customWidth="1"/>
    <col min="9726" max="9726" width="12.33203125" style="1045" customWidth="1"/>
    <col min="9727" max="9727" width="14.88671875" style="1045" customWidth="1"/>
    <col min="9728" max="9728" width="8.88671875" style="1045"/>
    <col min="9729" max="9729" width="14.33203125" style="1045" customWidth="1"/>
    <col min="9730" max="9730" width="8.88671875" style="1045"/>
    <col min="9731" max="9731" width="10.44140625" style="1045" customWidth="1"/>
    <col min="9732" max="9976" width="8.88671875" style="1045"/>
    <col min="9977" max="9977" width="3" style="1045" customWidth="1"/>
    <col min="9978" max="9978" width="4.33203125" style="1045" customWidth="1"/>
    <col min="9979" max="9979" width="39.44140625" style="1045" customWidth="1"/>
    <col min="9980" max="9980" width="8.88671875" style="1045" customWidth="1"/>
    <col min="9981" max="9981" width="10.44140625" style="1045" customWidth="1"/>
    <col min="9982" max="9982" width="12.33203125" style="1045" customWidth="1"/>
    <col min="9983" max="9983" width="14.88671875" style="1045" customWidth="1"/>
    <col min="9984" max="9984" width="8.88671875" style="1045"/>
    <col min="9985" max="9985" width="14.33203125" style="1045" customWidth="1"/>
    <col min="9986" max="9986" width="8.88671875" style="1045"/>
    <col min="9987" max="9987" width="10.44140625" style="1045" customWidth="1"/>
    <col min="9988" max="10232" width="8.88671875" style="1045"/>
    <col min="10233" max="10233" width="3" style="1045" customWidth="1"/>
    <col min="10234" max="10234" width="4.33203125" style="1045" customWidth="1"/>
    <col min="10235" max="10235" width="39.44140625" style="1045" customWidth="1"/>
    <col min="10236" max="10236" width="8.88671875" style="1045" customWidth="1"/>
    <col min="10237" max="10237" width="10.44140625" style="1045" customWidth="1"/>
    <col min="10238" max="10238" width="12.33203125" style="1045" customWidth="1"/>
    <col min="10239" max="10239" width="14.88671875" style="1045" customWidth="1"/>
    <col min="10240" max="10240" width="8.88671875" style="1045"/>
    <col min="10241" max="10241" width="14.33203125" style="1045" customWidth="1"/>
    <col min="10242" max="10242" width="8.88671875" style="1045"/>
    <col min="10243" max="10243" width="10.44140625" style="1045" customWidth="1"/>
    <col min="10244" max="10488" width="8.88671875" style="1045"/>
    <col min="10489" max="10489" width="3" style="1045" customWidth="1"/>
    <col min="10490" max="10490" width="4.33203125" style="1045" customWidth="1"/>
    <col min="10491" max="10491" width="39.44140625" style="1045" customWidth="1"/>
    <col min="10492" max="10492" width="8.88671875" style="1045" customWidth="1"/>
    <col min="10493" max="10493" width="10.44140625" style="1045" customWidth="1"/>
    <col min="10494" max="10494" width="12.33203125" style="1045" customWidth="1"/>
    <col min="10495" max="10495" width="14.88671875" style="1045" customWidth="1"/>
    <col min="10496" max="10496" width="8.88671875" style="1045"/>
    <col min="10497" max="10497" width="14.33203125" style="1045" customWidth="1"/>
    <col min="10498" max="10498" width="8.88671875" style="1045"/>
    <col min="10499" max="10499" width="10.44140625" style="1045" customWidth="1"/>
    <col min="10500" max="10744" width="8.88671875" style="1045"/>
    <col min="10745" max="10745" width="3" style="1045" customWidth="1"/>
    <col min="10746" max="10746" width="4.33203125" style="1045" customWidth="1"/>
    <col min="10747" max="10747" width="39.44140625" style="1045" customWidth="1"/>
    <col min="10748" max="10748" width="8.88671875" style="1045" customWidth="1"/>
    <col min="10749" max="10749" width="10.44140625" style="1045" customWidth="1"/>
    <col min="10750" max="10750" width="12.33203125" style="1045" customWidth="1"/>
    <col min="10751" max="10751" width="14.88671875" style="1045" customWidth="1"/>
    <col min="10752" max="10752" width="8.88671875" style="1045"/>
    <col min="10753" max="10753" width="14.33203125" style="1045" customWidth="1"/>
    <col min="10754" max="10754" width="8.88671875" style="1045"/>
    <col min="10755" max="10755" width="10.44140625" style="1045" customWidth="1"/>
    <col min="10756" max="11000" width="8.88671875" style="1045"/>
    <col min="11001" max="11001" width="3" style="1045" customWidth="1"/>
    <col min="11002" max="11002" width="4.33203125" style="1045" customWidth="1"/>
    <col min="11003" max="11003" width="39.44140625" style="1045" customWidth="1"/>
    <col min="11004" max="11004" width="8.88671875" style="1045" customWidth="1"/>
    <col min="11005" max="11005" width="10.44140625" style="1045" customWidth="1"/>
    <col min="11006" max="11006" width="12.33203125" style="1045" customWidth="1"/>
    <col min="11007" max="11007" width="14.88671875" style="1045" customWidth="1"/>
    <col min="11008" max="11008" width="8.88671875" style="1045"/>
    <col min="11009" max="11009" width="14.33203125" style="1045" customWidth="1"/>
    <col min="11010" max="11010" width="8.88671875" style="1045"/>
    <col min="11011" max="11011" width="10.44140625" style="1045" customWidth="1"/>
    <col min="11012" max="11256" width="8.88671875" style="1045"/>
    <col min="11257" max="11257" width="3" style="1045" customWidth="1"/>
    <col min="11258" max="11258" width="4.33203125" style="1045" customWidth="1"/>
    <col min="11259" max="11259" width="39.44140625" style="1045" customWidth="1"/>
    <col min="11260" max="11260" width="8.88671875" style="1045" customWidth="1"/>
    <col min="11261" max="11261" width="10.44140625" style="1045" customWidth="1"/>
    <col min="11262" max="11262" width="12.33203125" style="1045" customWidth="1"/>
    <col min="11263" max="11263" width="14.88671875" style="1045" customWidth="1"/>
    <col min="11264" max="11264" width="8.88671875" style="1045"/>
    <col min="11265" max="11265" width="14.33203125" style="1045" customWidth="1"/>
    <col min="11266" max="11266" width="8.88671875" style="1045"/>
    <col min="11267" max="11267" width="10.44140625" style="1045" customWidth="1"/>
    <col min="11268" max="11512" width="8.88671875" style="1045"/>
    <col min="11513" max="11513" width="3" style="1045" customWidth="1"/>
    <col min="11514" max="11514" width="4.33203125" style="1045" customWidth="1"/>
    <col min="11515" max="11515" width="39.44140625" style="1045" customWidth="1"/>
    <col min="11516" max="11516" width="8.88671875" style="1045" customWidth="1"/>
    <col min="11517" max="11517" width="10.44140625" style="1045" customWidth="1"/>
    <col min="11518" max="11518" width="12.33203125" style="1045" customWidth="1"/>
    <col min="11519" max="11519" width="14.88671875" style="1045" customWidth="1"/>
    <col min="11520" max="11520" width="8.88671875" style="1045"/>
    <col min="11521" max="11521" width="14.33203125" style="1045" customWidth="1"/>
    <col min="11522" max="11522" width="8.88671875" style="1045"/>
    <col min="11523" max="11523" width="10.44140625" style="1045" customWidth="1"/>
    <col min="11524" max="11768" width="8.88671875" style="1045"/>
    <col min="11769" max="11769" width="3" style="1045" customWidth="1"/>
    <col min="11770" max="11770" width="4.33203125" style="1045" customWidth="1"/>
    <col min="11771" max="11771" width="39.44140625" style="1045" customWidth="1"/>
    <col min="11772" max="11772" width="8.88671875" style="1045" customWidth="1"/>
    <col min="11773" max="11773" width="10.44140625" style="1045" customWidth="1"/>
    <col min="11774" max="11774" width="12.33203125" style="1045" customWidth="1"/>
    <col min="11775" max="11775" width="14.88671875" style="1045" customWidth="1"/>
    <col min="11776" max="11776" width="8.88671875" style="1045"/>
    <col min="11777" max="11777" width="14.33203125" style="1045" customWidth="1"/>
    <col min="11778" max="11778" width="8.88671875" style="1045"/>
    <col min="11779" max="11779" width="10.44140625" style="1045" customWidth="1"/>
    <col min="11780" max="12024" width="8.88671875" style="1045"/>
    <col min="12025" max="12025" width="3" style="1045" customWidth="1"/>
    <col min="12026" max="12026" width="4.33203125" style="1045" customWidth="1"/>
    <col min="12027" max="12027" width="39.44140625" style="1045" customWidth="1"/>
    <col min="12028" max="12028" width="8.88671875" style="1045" customWidth="1"/>
    <col min="12029" max="12029" width="10.44140625" style="1045" customWidth="1"/>
    <col min="12030" max="12030" width="12.33203125" style="1045" customWidth="1"/>
    <col min="12031" max="12031" width="14.88671875" style="1045" customWidth="1"/>
    <col min="12032" max="12032" width="8.88671875" style="1045"/>
    <col min="12033" max="12033" width="14.33203125" style="1045" customWidth="1"/>
    <col min="12034" max="12034" width="8.88671875" style="1045"/>
    <col min="12035" max="12035" width="10.44140625" style="1045" customWidth="1"/>
    <col min="12036" max="12280" width="8.88671875" style="1045"/>
    <col min="12281" max="12281" width="3" style="1045" customWidth="1"/>
    <col min="12282" max="12282" width="4.33203125" style="1045" customWidth="1"/>
    <col min="12283" max="12283" width="39.44140625" style="1045" customWidth="1"/>
    <col min="12284" max="12284" width="8.88671875" style="1045" customWidth="1"/>
    <col min="12285" max="12285" width="10.44140625" style="1045" customWidth="1"/>
    <col min="12286" max="12286" width="12.33203125" style="1045" customWidth="1"/>
    <col min="12287" max="12287" width="14.88671875" style="1045" customWidth="1"/>
    <col min="12288" max="12288" width="8.88671875" style="1045"/>
    <col min="12289" max="12289" width="14.33203125" style="1045" customWidth="1"/>
    <col min="12290" max="12290" width="8.88671875" style="1045"/>
    <col min="12291" max="12291" width="10.44140625" style="1045" customWidth="1"/>
    <col min="12292" max="12536" width="8.88671875" style="1045"/>
    <col min="12537" max="12537" width="3" style="1045" customWidth="1"/>
    <col min="12538" max="12538" width="4.33203125" style="1045" customWidth="1"/>
    <col min="12539" max="12539" width="39.44140625" style="1045" customWidth="1"/>
    <col min="12540" max="12540" width="8.88671875" style="1045" customWidth="1"/>
    <col min="12541" max="12541" width="10.44140625" style="1045" customWidth="1"/>
    <col min="12542" max="12542" width="12.33203125" style="1045" customWidth="1"/>
    <col min="12543" max="12543" width="14.88671875" style="1045" customWidth="1"/>
    <col min="12544" max="12544" width="8.88671875" style="1045"/>
    <col min="12545" max="12545" width="14.33203125" style="1045" customWidth="1"/>
    <col min="12546" max="12546" width="8.88671875" style="1045"/>
    <col min="12547" max="12547" width="10.44140625" style="1045" customWidth="1"/>
    <col min="12548" max="12792" width="8.88671875" style="1045"/>
    <col min="12793" max="12793" width="3" style="1045" customWidth="1"/>
    <col min="12794" max="12794" width="4.33203125" style="1045" customWidth="1"/>
    <col min="12795" max="12795" width="39.44140625" style="1045" customWidth="1"/>
    <col min="12796" max="12796" width="8.88671875" style="1045" customWidth="1"/>
    <col min="12797" max="12797" width="10.44140625" style="1045" customWidth="1"/>
    <col min="12798" max="12798" width="12.33203125" style="1045" customWidth="1"/>
    <col min="12799" max="12799" width="14.88671875" style="1045" customWidth="1"/>
    <col min="12800" max="12800" width="8.88671875" style="1045"/>
    <col min="12801" max="12801" width="14.33203125" style="1045" customWidth="1"/>
    <col min="12802" max="12802" width="8.88671875" style="1045"/>
    <col min="12803" max="12803" width="10.44140625" style="1045" customWidth="1"/>
    <col min="12804" max="13048" width="8.88671875" style="1045"/>
    <col min="13049" max="13049" width="3" style="1045" customWidth="1"/>
    <col min="13050" max="13050" width="4.33203125" style="1045" customWidth="1"/>
    <col min="13051" max="13051" width="39.44140625" style="1045" customWidth="1"/>
    <col min="13052" max="13052" width="8.88671875" style="1045" customWidth="1"/>
    <col min="13053" max="13053" width="10.44140625" style="1045" customWidth="1"/>
    <col min="13054" max="13054" width="12.33203125" style="1045" customWidth="1"/>
    <col min="13055" max="13055" width="14.88671875" style="1045" customWidth="1"/>
    <col min="13056" max="13056" width="8.88671875" style="1045"/>
    <col min="13057" max="13057" width="14.33203125" style="1045" customWidth="1"/>
    <col min="13058" max="13058" width="8.88671875" style="1045"/>
    <col min="13059" max="13059" width="10.44140625" style="1045" customWidth="1"/>
    <col min="13060" max="13304" width="8.88671875" style="1045"/>
    <col min="13305" max="13305" width="3" style="1045" customWidth="1"/>
    <col min="13306" max="13306" width="4.33203125" style="1045" customWidth="1"/>
    <col min="13307" max="13307" width="39.44140625" style="1045" customWidth="1"/>
    <col min="13308" max="13308" width="8.88671875" style="1045" customWidth="1"/>
    <col min="13309" max="13309" width="10.44140625" style="1045" customWidth="1"/>
    <col min="13310" max="13310" width="12.33203125" style="1045" customWidth="1"/>
    <col min="13311" max="13311" width="14.88671875" style="1045" customWidth="1"/>
    <col min="13312" max="13312" width="8.88671875" style="1045"/>
    <col min="13313" max="13313" width="14.33203125" style="1045" customWidth="1"/>
    <col min="13314" max="13314" width="8.88671875" style="1045"/>
    <col min="13315" max="13315" width="10.44140625" style="1045" customWidth="1"/>
    <col min="13316" max="13560" width="8.88671875" style="1045"/>
    <col min="13561" max="13561" width="3" style="1045" customWidth="1"/>
    <col min="13562" max="13562" width="4.33203125" style="1045" customWidth="1"/>
    <col min="13563" max="13563" width="39.44140625" style="1045" customWidth="1"/>
    <col min="13564" max="13564" width="8.88671875" style="1045" customWidth="1"/>
    <col min="13565" max="13565" width="10.44140625" style="1045" customWidth="1"/>
    <col min="13566" max="13566" width="12.33203125" style="1045" customWidth="1"/>
    <col min="13567" max="13567" width="14.88671875" style="1045" customWidth="1"/>
    <col min="13568" max="13568" width="8.88671875" style="1045"/>
    <col min="13569" max="13569" width="14.33203125" style="1045" customWidth="1"/>
    <col min="13570" max="13570" width="8.88671875" style="1045"/>
    <col min="13571" max="13571" width="10.44140625" style="1045" customWidth="1"/>
    <col min="13572" max="13816" width="8.88671875" style="1045"/>
    <col min="13817" max="13817" width="3" style="1045" customWidth="1"/>
    <col min="13818" max="13818" width="4.33203125" style="1045" customWidth="1"/>
    <col min="13819" max="13819" width="39.44140625" style="1045" customWidth="1"/>
    <col min="13820" max="13820" width="8.88671875" style="1045" customWidth="1"/>
    <col min="13821" max="13821" width="10.44140625" style="1045" customWidth="1"/>
    <col min="13822" max="13822" width="12.33203125" style="1045" customWidth="1"/>
    <col min="13823" max="13823" width="14.88671875" style="1045" customWidth="1"/>
    <col min="13824" max="13824" width="8.88671875" style="1045"/>
    <col min="13825" max="13825" width="14.33203125" style="1045" customWidth="1"/>
    <col min="13826" max="13826" width="8.88671875" style="1045"/>
    <col min="13827" max="13827" width="10.44140625" style="1045" customWidth="1"/>
    <col min="13828" max="14072" width="8.88671875" style="1045"/>
    <col min="14073" max="14073" width="3" style="1045" customWidth="1"/>
    <col min="14074" max="14074" width="4.33203125" style="1045" customWidth="1"/>
    <col min="14075" max="14075" width="39.44140625" style="1045" customWidth="1"/>
    <col min="14076" max="14076" width="8.88671875" style="1045" customWidth="1"/>
    <col min="14077" max="14077" width="10.44140625" style="1045" customWidth="1"/>
    <col min="14078" max="14078" width="12.33203125" style="1045" customWidth="1"/>
    <col min="14079" max="14079" width="14.88671875" style="1045" customWidth="1"/>
    <col min="14080" max="14080" width="8.88671875" style="1045"/>
    <col min="14081" max="14081" width="14.33203125" style="1045" customWidth="1"/>
    <col min="14082" max="14082" width="8.88671875" style="1045"/>
    <col min="14083" max="14083" width="10.44140625" style="1045" customWidth="1"/>
    <col min="14084" max="14328" width="8.88671875" style="1045"/>
    <col min="14329" max="14329" width="3" style="1045" customWidth="1"/>
    <col min="14330" max="14330" width="4.33203125" style="1045" customWidth="1"/>
    <col min="14331" max="14331" width="39.44140625" style="1045" customWidth="1"/>
    <col min="14332" max="14332" width="8.88671875" style="1045" customWidth="1"/>
    <col min="14333" max="14333" width="10.44140625" style="1045" customWidth="1"/>
    <col min="14334" max="14334" width="12.33203125" style="1045" customWidth="1"/>
    <col min="14335" max="14335" width="14.88671875" style="1045" customWidth="1"/>
    <col min="14336" max="14336" width="8.88671875" style="1045"/>
    <col min="14337" max="14337" width="14.33203125" style="1045" customWidth="1"/>
    <col min="14338" max="14338" width="8.88671875" style="1045"/>
    <col min="14339" max="14339" width="10.44140625" style="1045" customWidth="1"/>
    <col min="14340" max="14584" width="8.88671875" style="1045"/>
    <col min="14585" max="14585" width="3" style="1045" customWidth="1"/>
    <col min="14586" max="14586" width="4.33203125" style="1045" customWidth="1"/>
    <col min="14587" max="14587" width="39.44140625" style="1045" customWidth="1"/>
    <col min="14588" max="14588" width="8.88671875" style="1045" customWidth="1"/>
    <col min="14589" max="14589" width="10.44140625" style="1045" customWidth="1"/>
    <col min="14590" max="14590" width="12.33203125" style="1045" customWidth="1"/>
    <col min="14591" max="14591" width="14.88671875" style="1045" customWidth="1"/>
    <col min="14592" max="14592" width="8.88671875" style="1045"/>
    <col min="14593" max="14593" width="14.33203125" style="1045" customWidth="1"/>
    <col min="14594" max="14594" width="8.88671875" style="1045"/>
    <col min="14595" max="14595" width="10.44140625" style="1045" customWidth="1"/>
    <col min="14596" max="14840" width="8.88671875" style="1045"/>
    <col min="14841" max="14841" width="3" style="1045" customWidth="1"/>
    <col min="14842" max="14842" width="4.33203125" style="1045" customWidth="1"/>
    <col min="14843" max="14843" width="39.44140625" style="1045" customWidth="1"/>
    <col min="14844" max="14844" width="8.88671875" style="1045" customWidth="1"/>
    <col min="14845" max="14845" width="10.44140625" style="1045" customWidth="1"/>
    <col min="14846" max="14846" width="12.33203125" style="1045" customWidth="1"/>
    <col min="14847" max="14847" width="14.88671875" style="1045" customWidth="1"/>
    <col min="14848" max="14848" width="8.88671875" style="1045"/>
    <col min="14849" max="14849" width="14.33203125" style="1045" customWidth="1"/>
    <col min="14850" max="14850" width="8.88671875" style="1045"/>
    <col min="14851" max="14851" width="10.44140625" style="1045" customWidth="1"/>
    <col min="14852" max="15096" width="8.88671875" style="1045"/>
    <col min="15097" max="15097" width="3" style="1045" customWidth="1"/>
    <col min="15098" max="15098" width="4.33203125" style="1045" customWidth="1"/>
    <col min="15099" max="15099" width="39.44140625" style="1045" customWidth="1"/>
    <col min="15100" max="15100" width="8.88671875" style="1045" customWidth="1"/>
    <col min="15101" max="15101" width="10.44140625" style="1045" customWidth="1"/>
    <col min="15102" max="15102" width="12.33203125" style="1045" customWidth="1"/>
    <col min="15103" max="15103" width="14.88671875" style="1045" customWidth="1"/>
    <col min="15104" max="15104" width="8.88671875" style="1045"/>
    <col min="15105" max="15105" width="14.33203125" style="1045" customWidth="1"/>
    <col min="15106" max="15106" width="8.88671875" style="1045"/>
    <col min="15107" max="15107" width="10.44140625" style="1045" customWidth="1"/>
    <col min="15108" max="15352" width="8.88671875" style="1045"/>
    <col min="15353" max="15353" width="3" style="1045" customWidth="1"/>
    <col min="15354" max="15354" width="4.33203125" style="1045" customWidth="1"/>
    <col min="15355" max="15355" width="39.44140625" style="1045" customWidth="1"/>
    <col min="15356" max="15356" width="8.88671875" style="1045" customWidth="1"/>
    <col min="15357" max="15357" width="10.44140625" style="1045" customWidth="1"/>
    <col min="15358" max="15358" width="12.33203125" style="1045" customWidth="1"/>
    <col min="15359" max="15359" width="14.88671875" style="1045" customWidth="1"/>
    <col min="15360" max="15360" width="8.88671875" style="1045"/>
    <col min="15361" max="15361" width="14.33203125" style="1045" customWidth="1"/>
    <col min="15362" max="15362" width="8.88671875" style="1045"/>
    <col min="15363" max="15363" width="10.44140625" style="1045" customWidth="1"/>
    <col min="15364" max="15608" width="8.88671875" style="1045"/>
    <col min="15609" max="15609" width="3" style="1045" customWidth="1"/>
    <col min="15610" max="15610" width="4.33203125" style="1045" customWidth="1"/>
    <col min="15611" max="15611" width="39.44140625" style="1045" customWidth="1"/>
    <col min="15612" max="15612" width="8.88671875" style="1045" customWidth="1"/>
    <col min="15613" max="15613" width="10.44140625" style="1045" customWidth="1"/>
    <col min="15614" max="15614" width="12.33203125" style="1045" customWidth="1"/>
    <col min="15615" max="15615" width="14.88671875" style="1045" customWidth="1"/>
    <col min="15616" max="15616" width="8.88671875" style="1045"/>
    <col min="15617" max="15617" width="14.33203125" style="1045" customWidth="1"/>
    <col min="15618" max="15618" width="8.88671875" style="1045"/>
    <col min="15619" max="15619" width="10.44140625" style="1045" customWidth="1"/>
    <col min="15620" max="15864" width="8.88671875" style="1045"/>
    <col min="15865" max="15865" width="3" style="1045" customWidth="1"/>
    <col min="15866" max="15866" width="4.33203125" style="1045" customWidth="1"/>
    <col min="15867" max="15867" width="39.44140625" style="1045" customWidth="1"/>
    <col min="15868" max="15868" width="8.88671875" style="1045" customWidth="1"/>
    <col min="15869" max="15869" width="10.44140625" style="1045" customWidth="1"/>
    <col min="15870" max="15870" width="12.33203125" style="1045" customWidth="1"/>
    <col min="15871" max="15871" width="14.88671875" style="1045" customWidth="1"/>
    <col min="15872" max="15872" width="8.88671875" style="1045"/>
    <col min="15873" max="15873" width="14.33203125" style="1045" customWidth="1"/>
    <col min="15874" max="15874" width="8.88671875" style="1045"/>
    <col min="15875" max="15875" width="10.44140625" style="1045" customWidth="1"/>
    <col min="15876" max="16120" width="8.88671875" style="1045"/>
    <col min="16121" max="16121" width="3" style="1045" customWidth="1"/>
    <col min="16122" max="16122" width="4.33203125" style="1045" customWidth="1"/>
    <col min="16123" max="16123" width="39.44140625" style="1045" customWidth="1"/>
    <col min="16124" max="16124" width="8.88671875" style="1045" customWidth="1"/>
    <col min="16125" max="16125" width="10.44140625" style="1045" customWidth="1"/>
    <col min="16126" max="16126" width="12.33203125" style="1045" customWidth="1"/>
    <col min="16127" max="16127" width="14.88671875" style="1045" customWidth="1"/>
    <col min="16128" max="16128" width="8.88671875" style="1045"/>
    <col min="16129" max="16129" width="14.33203125" style="1045" customWidth="1"/>
    <col min="16130" max="16130" width="8.88671875" style="1045"/>
    <col min="16131" max="16131" width="10.44140625" style="1045" customWidth="1"/>
    <col min="16132" max="16384" width="8.88671875" style="1045"/>
  </cols>
  <sheetData>
    <row r="1" spans="1:7" s="957" customFormat="1" ht="15.6" x14ac:dyDescent="0.25">
      <c r="A1" s="1362" t="s">
        <v>1430</v>
      </c>
      <c r="B1" s="1363"/>
      <c r="C1" s="1364"/>
      <c r="D1" s="1365"/>
      <c r="E1" s="1366"/>
      <c r="F1" s="1367"/>
    </row>
    <row r="2" spans="1:7" s="957" customFormat="1" ht="15.6" x14ac:dyDescent="0.25">
      <c r="A2" s="1368" t="s">
        <v>1431</v>
      </c>
      <c r="B2" s="1369"/>
      <c r="C2" s="1370"/>
      <c r="D2" s="1371"/>
      <c r="E2" s="1371"/>
      <c r="F2" s="1372"/>
    </row>
    <row r="3" spans="1:7" s="957" customFormat="1" ht="15.6" x14ac:dyDescent="0.25">
      <c r="A3" s="2774" t="s">
        <v>1432</v>
      </c>
      <c r="B3" s="2775"/>
      <c r="C3" s="1370"/>
      <c r="D3" s="1371"/>
      <c r="E3" s="1371"/>
      <c r="F3" s="1372"/>
    </row>
    <row r="4" spans="1:7" s="957" customFormat="1" ht="15.6" x14ac:dyDescent="0.25">
      <c r="A4" s="1373"/>
      <c r="B4" s="958"/>
      <c r="C4" s="1370"/>
      <c r="D4" s="1374"/>
      <c r="E4" s="1375"/>
      <c r="F4" s="1372"/>
    </row>
    <row r="5" spans="1:7" s="966" customFormat="1" ht="27.6" x14ac:dyDescent="0.25">
      <c r="A5" s="959" t="s">
        <v>683</v>
      </c>
      <c r="B5" s="960" t="s">
        <v>684</v>
      </c>
      <c r="C5" s="961" t="s">
        <v>689</v>
      </c>
      <c r="D5" s="962" t="s">
        <v>691</v>
      </c>
      <c r="E5" s="963" t="s">
        <v>1433</v>
      </c>
      <c r="F5" s="964" t="s">
        <v>1434</v>
      </c>
      <c r="G5" s="965"/>
    </row>
    <row r="6" spans="1:7" s="966" customFormat="1" x14ac:dyDescent="0.25">
      <c r="A6" s="967"/>
      <c r="B6" s="968"/>
      <c r="C6" s="969"/>
      <c r="D6" s="970"/>
      <c r="E6" s="971"/>
      <c r="F6" s="972"/>
      <c r="G6" s="965"/>
    </row>
    <row r="7" spans="1:7" s="978" customFormat="1" ht="15.6" x14ac:dyDescent="0.25">
      <c r="A7" s="973"/>
      <c r="B7" s="974" t="s">
        <v>1435</v>
      </c>
      <c r="C7" s="975"/>
      <c r="D7" s="976" t="s">
        <v>1362</v>
      </c>
      <c r="E7" s="949"/>
      <c r="F7" s="950"/>
      <c r="G7" s="977"/>
    </row>
    <row r="8" spans="1:7" s="978" customFormat="1" x14ac:dyDescent="0.25">
      <c r="A8" s="973"/>
      <c r="B8" s="979"/>
      <c r="C8" s="975"/>
      <c r="D8" s="949"/>
      <c r="E8" s="949"/>
      <c r="F8" s="950"/>
      <c r="G8" s="977"/>
    </row>
    <row r="9" spans="1:7" s="978" customFormat="1" ht="48" customHeight="1" x14ac:dyDescent="0.25">
      <c r="A9" s="980" t="s">
        <v>1436</v>
      </c>
      <c r="B9" s="981" t="s">
        <v>1437</v>
      </c>
      <c r="C9" s="975"/>
      <c r="D9" s="949"/>
      <c r="E9" s="949"/>
      <c r="F9" s="950"/>
      <c r="G9" s="977"/>
    </row>
    <row r="10" spans="1:7" s="978" customFormat="1" x14ac:dyDescent="0.25">
      <c r="A10" s="982"/>
      <c r="B10" s="981"/>
      <c r="C10" s="975"/>
      <c r="D10" s="949"/>
      <c r="E10" s="949"/>
      <c r="F10" s="950"/>
      <c r="G10" s="977"/>
    </row>
    <row r="11" spans="1:7" s="978" customFormat="1" ht="34.200000000000003" customHeight="1" x14ac:dyDescent="0.25">
      <c r="A11" s="980" t="s">
        <v>1438</v>
      </c>
      <c r="B11" s="981" t="s">
        <v>1439</v>
      </c>
      <c r="C11" s="975"/>
      <c r="D11" s="949"/>
      <c r="E11" s="949"/>
      <c r="F11" s="950"/>
      <c r="G11" s="977"/>
    </row>
    <row r="12" spans="1:7" s="978" customFormat="1" x14ac:dyDescent="0.25">
      <c r="A12" s="982"/>
      <c r="B12" s="981"/>
      <c r="C12" s="975"/>
      <c r="D12" s="949"/>
      <c r="E12" s="949"/>
      <c r="F12" s="950"/>
      <c r="G12" s="977"/>
    </row>
    <row r="13" spans="1:7" s="978" customFormat="1" ht="49.2" customHeight="1" x14ac:dyDescent="0.25">
      <c r="A13" s="980" t="s">
        <v>1440</v>
      </c>
      <c r="B13" s="981" t="s">
        <v>1441</v>
      </c>
      <c r="C13" s="975"/>
      <c r="D13" s="949"/>
      <c r="E13" s="949"/>
      <c r="F13" s="950"/>
      <c r="G13" s="977"/>
    </row>
    <row r="14" spans="1:7" s="978" customFormat="1" x14ac:dyDescent="0.25">
      <c r="A14" s="982"/>
      <c r="B14" s="981"/>
      <c r="C14" s="975"/>
      <c r="D14" s="949"/>
      <c r="E14" s="949"/>
      <c r="F14" s="950"/>
      <c r="G14" s="977"/>
    </row>
    <row r="15" spans="1:7" s="978" customFormat="1" ht="35.4" customHeight="1" x14ac:dyDescent="0.25">
      <c r="A15" s="980" t="s">
        <v>1442</v>
      </c>
      <c r="B15" s="981" t="s">
        <v>1443</v>
      </c>
      <c r="C15" s="975"/>
      <c r="D15" s="949"/>
      <c r="E15" s="949"/>
      <c r="F15" s="950"/>
      <c r="G15" s="977"/>
    </row>
    <row r="16" spans="1:7" s="978" customFormat="1" x14ac:dyDescent="0.25">
      <c r="A16" s="982"/>
      <c r="B16" s="981"/>
      <c r="C16" s="975"/>
      <c r="D16" s="949"/>
      <c r="E16" s="949"/>
      <c r="F16" s="950"/>
      <c r="G16" s="977"/>
    </row>
    <row r="17" spans="1:7" s="978" customFormat="1" ht="63.6" customHeight="1" x14ac:dyDescent="0.25">
      <c r="A17" s="980" t="s">
        <v>1444</v>
      </c>
      <c r="B17" s="983" t="s">
        <v>1445</v>
      </c>
      <c r="C17" s="975"/>
      <c r="D17" s="949"/>
      <c r="E17" s="984"/>
      <c r="F17" s="950"/>
      <c r="G17" s="977"/>
    </row>
    <row r="18" spans="1:7" s="978" customFormat="1" x14ac:dyDescent="0.25">
      <c r="A18" s="982"/>
      <c r="B18" s="981"/>
      <c r="C18" s="975"/>
      <c r="D18" s="949"/>
      <c r="E18" s="949"/>
      <c r="F18" s="950"/>
      <c r="G18" s="977"/>
    </row>
    <row r="19" spans="1:7" s="978" customFormat="1" ht="37.200000000000003" customHeight="1" x14ac:dyDescent="0.25">
      <c r="A19" s="980" t="s">
        <v>1446</v>
      </c>
      <c r="B19" s="981" t="s">
        <v>1447</v>
      </c>
      <c r="C19" s="975"/>
      <c r="D19" s="949"/>
      <c r="E19" s="949"/>
      <c r="F19" s="950"/>
      <c r="G19" s="977"/>
    </row>
    <row r="20" spans="1:7" s="978" customFormat="1" x14ac:dyDescent="0.25">
      <c r="A20" s="982"/>
      <c r="B20" s="981"/>
      <c r="C20" s="975"/>
      <c r="D20" s="949"/>
      <c r="E20" s="949"/>
      <c r="F20" s="950"/>
      <c r="G20" s="977"/>
    </row>
    <row r="21" spans="1:7" s="985" customFormat="1" ht="64.2" customHeight="1" x14ac:dyDescent="0.25">
      <c r="A21" s="980" t="s">
        <v>1448</v>
      </c>
      <c r="B21" s="983" t="s">
        <v>1449</v>
      </c>
      <c r="C21" s="975"/>
      <c r="D21" s="949"/>
      <c r="E21" s="949"/>
      <c r="F21" s="950"/>
      <c r="G21" s="977"/>
    </row>
    <row r="22" spans="1:7" s="978" customFormat="1" x14ac:dyDescent="0.25">
      <c r="A22" s="982"/>
      <c r="B22" s="981"/>
      <c r="C22" s="975"/>
      <c r="D22" s="949"/>
      <c r="E22" s="949"/>
      <c r="F22" s="950"/>
      <c r="G22" s="977"/>
    </row>
    <row r="23" spans="1:7" s="978" customFormat="1" ht="19.2" customHeight="1" x14ac:dyDescent="0.25">
      <c r="A23" s="980" t="s">
        <v>1450</v>
      </c>
      <c r="B23" s="986" t="s">
        <v>1451</v>
      </c>
      <c r="C23" s="975"/>
      <c r="D23" s="949"/>
      <c r="E23" s="949"/>
      <c r="F23" s="950"/>
      <c r="G23" s="977"/>
    </row>
    <row r="24" spans="1:7" s="978" customFormat="1" x14ac:dyDescent="0.25">
      <c r="A24" s="982"/>
      <c r="B24" s="981"/>
      <c r="C24" s="975"/>
      <c r="D24" s="949"/>
      <c r="E24" s="949"/>
      <c r="F24" s="950"/>
      <c r="G24" s="977"/>
    </row>
    <row r="25" spans="1:7" s="978" customFormat="1" ht="49.2" customHeight="1" x14ac:dyDescent="0.25">
      <c r="A25" s="980" t="s">
        <v>1452</v>
      </c>
      <c r="B25" s="981" t="s">
        <v>1453</v>
      </c>
      <c r="C25" s="975"/>
      <c r="D25" s="949"/>
      <c r="E25" s="949"/>
      <c r="F25" s="950"/>
      <c r="G25" s="977"/>
    </row>
    <row r="26" spans="1:7" s="978" customFormat="1" x14ac:dyDescent="0.25">
      <c r="A26" s="982"/>
      <c r="B26" s="981"/>
      <c r="C26" s="975"/>
      <c r="D26" s="949"/>
      <c r="E26" s="949"/>
      <c r="F26" s="950"/>
      <c r="G26" s="977"/>
    </row>
    <row r="27" spans="1:7" s="978" customFormat="1" ht="19.2" customHeight="1" x14ac:dyDescent="0.25">
      <c r="A27" s="980" t="s">
        <v>1454</v>
      </c>
      <c r="B27" s="986" t="s">
        <v>1455</v>
      </c>
      <c r="C27" s="975"/>
      <c r="D27" s="949"/>
      <c r="E27" s="949"/>
      <c r="F27" s="950"/>
      <c r="G27" s="977"/>
    </row>
    <row r="28" spans="1:7" s="978" customFormat="1" x14ac:dyDescent="0.25">
      <c r="A28" s="982"/>
      <c r="B28" s="981"/>
      <c r="C28" s="975"/>
      <c r="D28" s="949"/>
      <c r="E28" s="949"/>
      <c r="F28" s="950"/>
      <c r="G28" s="977"/>
    </row>
    <row r="29" spans="1:7" s="978" customFormat="1" ht="37.200000000000003" customHeight="1" x14ac:dyDescent="0.25">
      <c r="A29" s="980" t="s">
        <v>1456</v>
      </c>
      <c r="B29" s="981" t="s">
        <v>1457</v>
      </c>
      <c r="C29" s="975"/>
      <c r="D29" s="949"/>
      <c r="E29" s="949"/>
      <c r="F29" s="950"/>
      <c r="G29" s="977"/>
    </row>
    <row r="30" spans="1:7" s="978" customFormat="1" x14ac:dyDescent="0.25">
      <c r="A30" s="982"/>
      <c r="B30" s="981"/>
      <c r="C30" s="975"/>
      <c r="D30" s="949"/>
      <c r="E30" s="949"/>
      <c r="F30" s="950"/>
      <c r="G30" s="977"/>
    </row>
    <row r="31" spans="1:7" s="978" customFormat="1" ht="34.799999999999997" customHeight="1" x14ac:dyDescent="0.25">
      <c r="A31" s="980" t="s">
        <v>1458</v>
      </c>
      <c r="B31" s="981" t="s">
        <v>1459</v>
      </c>
      <c r="C31" s="975"/>
      <c r="D31" s="949"/>
      <c r="E31" s="949"/>
      <c r="F31" s="950"/>
      <c r="G31" s="977"/>
    </row>
    <row r="32" spans="1:7" s="978" customFormat="1" x14ac:dyDescent="0.25">
      <c r="A32" s="982"/>
      <c r="B32" s="981"/>
      <c r="C32" s="975"/>
      <c r="D32" s="949"/>
      <c r="E32" s="949"/>
      <c r="F32" s="950"/>
      <c r="G32" s="977"/>
    </row>
    <row r="33" spans="1:7" s="978" customFormat="1" ht="49.2" customHeight="1" x14ac:dyDescent="0.25">
      <c r="A33" s="980" t="s">
        <v>1460</v>
      </c>
      <c r="B33" s="981" t="s">
        <v>1461</v>
      </c>
      <c r="C33" s="975"/>
      <c r="D33" s="949"/>
      <c r="E33" s="949"/>
      <c r="F33" s="950"/>
      <c r="G33" s="977"/>
    </row>
    <row r="34" spans="1:7" s="978" customFormat="1" x14ac:dyDescent="0.25">
      <c r="A34" s="982"/>
      <c r="B34" s="981"/>
      <c r="C34" s="975"/>
      <c r="D34" s="949"/>
      <c r="E34" s="949"/>
      <c r="F34" s="950"/>
      <c r="G34" s="977"/>
    </row>
    <row r="35" spans="1:7" s="978" customFormat="1" ht="48.6" customHeight="1" x14ac:dyDescent="0.25">
      <c r="A35" s="980" t="s">
        <v>1462</v>
      </c>
      <c r="B35" s="981" t="s">
        <v>1463</v>
      </c>
      <c r="C35" s="975"/>
      <c r="D35" s="949"/>
      <c r="E35" s="949"/>
      <c r="F35" s="950"/>
      <c r="G35" s="977"/>
    </row>
    <row r="36" spans="1:7" s="978" customFormat="1" x14ac:dyDescent="0.25">
      <c r="A36" s="980"/>
      <c r="B36" s="981"/>
      <c r="C36" s="975"/>
      <c r="D36" s="949"/>
      <c r="E36" s="949"/>
      <c r="F36" s="950"/>
      <c r="G36" s="977"/>
    </row>
    <row r="37" spans="1:7" s="993" customFormat="1" ht="51" customHeight="1" x14ac:dyDescent="0.25">
      <c r="A37" s="987">
        <v>15</v>
      </c>
      <c r="B37" s="988" t="s">
        <v>1464</v>
      </c>
      <c r="C37" s="947"/>
      <c r="D37" s="989"/>
      <c r="E37" s="990"/>
      <c r="F37" s="991"/>
      <c r="G37" s="992"/>
    </row>
    <row r="38" spans="1:7" s="978" customFormat="1" x14ac:dyDescent="0.25">
      <c r="A38" s="982"/>
      <c r="B38" s="981"/>
      <c r="C38" s="975"/>
      <c r="D38" s="949"/>
      <c r="E38" s="949"/>
      <c r="F38" s="950"/>
      <c r="G38" s="977"/>
    </row>
    <row r="39" spans="1:7" s="978" customFormat="1" ht="21" customHeight="1" x14ac:dyDescent="0.25">
      <c r="A39" s="982">
        <v>16</v>
      </c>
      <c r="B39" s="986" t="s">
        <v>1465</v>
      </c>
      <c r="C39" s="975"/>
      <c r="D39" s="949"/>
      <c r="E39" s="949"/>
      <c r="F39" s="950"/>
      <c r="G39" s="977"/>
    </row>
    <row r="40" spans="1:7" s="978" customFormat="1" x14ac:dyDescent="0.25">
      <c r="A40" s="1376"/>
      <c r="B40" s="1377"/>
      <c r="C40" s="1378"/>
      <c r="D40" s="1320"/>
      <c r="E40" s="1320"/>
      <c r="F40" s="1321"/>
      <c r="G40" s="977"/>
    </row>
    <row r="41" spans="1:7" s="978" customFormat="1" ht="46.2" customHeight="1" x14ac:dyDescent="0.25">
      <c r="A41" s="1379">
        <v>17</v>
      </c>
      <c r="B41" s="1380" t="s">
        <v>1466</v>
      </c>
      <c r="C41" s="1381"/>
      <c r="D41" s="1382"/>
      <c r="E41" s="1382"/>
      <c r="F41" s="1383"/>
      <c r="G41" s="977"/>
    </row>
    <row r="42" spans="1:7" s="978" customFormat="1" x14ac:dyDescent="0.25">
      <c r="A42" s="982"/>
      <c r="B42" s="981"/>
      <c r="C42" s="975"/>
      <c r="D42" s="949"/>
      <c r="E42" s="949"/>
      <c r="F42" s="950"/>
      <c r="G42" s="977"/>
    </row>
    <row r="43" spans="1:7" s="978" customFormat="1" ht="33" customHeight="1" x14ac:dyDescent="0.25">
      <c r="A43" s="982">
        <v>18</v>
      </c>
      <c r="B43" s="981" t="s">
        <v>1467</v>
      </c>
      <c r="C43" s="975"/>
      <c r="D43" s="949"/>
      <c r="E43" s="949"/>
      <c r="F43" s="950"/>
      <c r="G43" s="977"/>
    </row>
    <row r="44" spans="1:7" s="978" customFormat="1" x14ac:dyDescent="0.25">
      <c r="A44" s="982"/>
      <c r="B44" s="981"/>
      <c r="C44" s="975"/>
      <c r="D44" s="949"/>
      <c r="E44" s="949"/>
      <c r="F44" s="950"/>
      <c r="G44" s="977"/>
    </row>
    <row r="45" spans="1:7" s="978" customFormat="1" ht="37.200000000000003" customHeight="1" x14ac:dyDescent="0.25">
      <c r="A45" s="982">
        <v>19</v>
      </c>
      <c r="B45" s="981" t="s">
        <v>1468</v>
      </c>
      <c r="C45" s="975"/>
      <c r="D45" s="949"/>
      <c r="E45" s="949"/>
      <c r="F45" s="950"/>
      <c r="G45" s="977"/>
    </row>
    <row r="46" spans="1:7" s="978" customFormat="1" x14ac:dyDescent="0.25">
      <c r="A46" s="982"/>
      <c r="B46" s="981"/>
      <c r="C46" s="975"/>
      <c r="D46" s="949"/>
      <c r="E46" s="949"/>
      <c r="F46" s="950"/>
      <c r="G46" s="977"/>
    </row>
    <row r="47" spans="1:7" s="978" customFormat="1" ht="34.799999999999997" customHeight="1" x14ac:dyDescent="0.25">
      <c r="A47" s="982">
        <v>20</v>
      </c>
      <c r="B47" s="981" t="s">
        <v>1469</v>
      </c>
      <c r="C47" s="975"/>
      <c r="D47" s="949"/>
      <c r="E47" s="949"/>
      <c r="F47" s="950"/>
      <c r="G47" s="977"/>
    </row>
    <row r="48" spans="1:7" s="978" customFormat="1" x14ac:dyDescent="0.25">
      <c r="A48" s="982"/>
      <c r="B48" s="981"/>
      <c r="C48" s="975"/>
      <c r="D48" s="949"/>
      <c r="E48" s="949"/>
      <c r="F48" s="950"/>
      <c r="G48" s="977"/>
    </row>
    <row r="49" spans="1:7" s="978" customFormat="1" ht="35.4" customHeight="1" x14ac:dyDescent="0.25">
      <c r="A49" s="982">
        <v>21</v>
      </c>
      <c r="B49" s="981" t="s">
        <v>1470</v>
      </c>
      <c r="C49" s="975"/>
      <c r="D49" s="949"/>
      <c r="E49" s="949"/>
      <c r="F49" s="950"/>
      <c r="G49" s="977"/>
    </row>
    <row r="50" spans="1:7" s="978" customFormat="1" x14ac:dyDescent="0.25">
      <c r="A50" s="982"/>
      <c r="B50" s="981"/>
      <c r="C50" s="975"/>
      <c r="D50" s="949"/>
      <c r="E50" s="949"/>
      <c r="F50" s="950"/>
      <c r="G50" s="977"/>
    </row>
    <row r="51" spans="1:7" s="978" customFormat="1" ht="34.799999999999997" customHeight="1" x14ac:dyDescent="0.25">
      <c r="A51" s="982">
        <v>22</v>
      </c>
      <c r="B51" s="981" t="s">
        <v>1471</v>
      </c>
      <c r="C51" s="975"/>
      <c r="D51" s="949"/>
      <c r="E51" s="949"/>
      <c r="F51" s="950"/>
      <c r="G51" s="977"/>
    </row>
    <row r="52" spans="1:7" s="978" customFormat="1" x14ac:dyDescent="0.25">
      <c r="A52" s="982"/>
      <c r="B52" s="981"/>
      <c r="C52" s="975"/>
      <c r="D52" s="949"/>
      <c r="E52" s="949"/>
      <c r="F52" s="950"/>
      <c r="G52" s="977"/>
    </row>
    <row r="53" spans="1:7" s="978" customFormat="1" ht="15.6" x14ac:dyDescent="0.25">
      <c r="A53" s="994"/>
      <c r="B53" s="974" t="s">
        <v>1472</v>
      </c>
      <c r="C53" s="975"/>
      <c r="D53" s="949" t="s">
        <v>1362</v>
      </c>
      <c r="E53" s="949"/>
      <c r="F53" s="950"/>
      <c r="G53" s="977"/>
    </row>
    <row r="54" spans="1:7" s="978" customFormat="1" x14ac:dyDescent="0.25">
      <c r="A54" s="994"/>
      <c r="B54" s="979"/>
      <c r="C54" s="975"/>
      <c r="D54" s="949"/>
      <c r="E54" s="949"/>
      <c r="F54" s="950"/>
      <c r="G54" s="977"/>
    </row>
    <row r="55" spans="1:7" s="978" customFormat="1" x14ac:dyDescent="0.25">
      <c r="A55" s="980" t="s">
        <v>1436</v>
      </c>
      <c r="B55" s="995" t="s">
        <v>1473</v>
      </c>
      <c r="C55" s="975"/>
      <c r="D55" s="949"/>
      <c r="E55" s="949"/>
      <c r="F55" s="950"/>
      <c r="G55" s="977"/>
    </row>
    <row r="56" spans="1:7" s="978" customFormat="1" ht="46.8" customHeight="1" x14ac:dyDescent="0.25">
      <c r="A56" s="996"/>
      <c r="B56" s="981" t="s">
        <v>1474</v>
      </c>
      <c r="C56" s="975"/>
      <c r="D56" s="997"/>
      <c r="E56" s="949"/>
      <c r="F56" s="950"/>
      <c r="G56" s="977"/>
    </row>
    <row r="57" spans="1:7" s="978" customFormat="1" x14ac:dyDescent="0.25">
      <c r="A57" s="996"/>
      <c r="B57" s="981"/>
      <c r="C57" s="975"/>
      <c r="D57" s="997"/>
      <c r="E57" s="949"/>
      <c r="F57" s="950"/>
      <c r="G57" s="977"/>
    </row>
    <row r="58" spans="1:7" s="978" customFormat="1" x14ac:dyDescent="0.25">
      <c r="A58" s="980" t="s">
        <v>1438</v>
      </c>
      <c r="B58" s="995" t="s">
        <v>1475</v>
      </c>
      <c r="C58" s="975"/>
      <c r="D58" s="949"/>
      <c r="E58" s="949"/>
      <c r="F58" s="950"/>
      <c r="G58" s="977"/>
    </row>
    <row r="59" spans="1:7" s="978" customFormat="1" ht="46.8" customHeight="1" x14ac:dyDescent="0.25">
      <c r="A59" s="996"/>
      <c r="B59" s="981" t="s">
        <v>1476</v>
      </c>
      <c r="C59" s="975"/>
      <c r="D59" s="997"/>
      <c r="E59" s="949"/>
      <c r="F59" s="950"/>
      <c r="G59" s="977"/>
    </row>
    <row r="60" spans="1:7" s="978" customFormat="1" x14ac:dyDescent="0.25">
      <c r="A60" s="996"/>
      <c r="B60" s="981"/>
      <c r="C60" s="975"/>
      <c r="D60" s="997"/>
      <c r="E60" s="949"/>
      <c r="F60" s="950"/>
      <c r="G60" s="977"/>
    </row>
    <row r="61" spans="1:7" s="978" customFormat="1" ht="35.4" customHeight="1" x14ac:dyDescent="0.25">
      <c r="A61" s="996"/>
      <c r="B61" s="981" t="s">
        <v>1477</v>
      </c>
      <c r="C61" s="975"/>
      <c r="D61" s="997"/>
      <c r="E61" s="949"/>
      <c r="F61" s="950"/>
      <c r="G61" s="977"/>
    </row>
    <row r="62" spans="1:7" s="978" customFormat="1" x14ac:dyDescent="0.25">
      <c r="A62" s="996"/>
      <c r="B62" s="981"/>
      <c r="C62" s="975"/>
      <c r="D62" s="997"/>
      <c r="E62" s="949"/>
      <c r="F62" s="950"/>
      <c r="G62" s="977"/>
    </row>
    <row r="63" spans="1:7" s="978" customFormat="1" x14ac:dyDescent="0.25">
      <c r="A63" s="980" t="s">
        <v>1440</v>
      </c>
      <c r="B63" s="995" t="s">
        <v>1478</v>
      </c>
      <c r="C63" s="975"/>
      <c r="D63" s="949"/>
      <c r="E63" s="949"/>
      <c r="F63" s="950"/>
      <c r="G63" s="977"/>
    </row>
    <row r="64" spans="1:7" s="978" customFormat="1" ht="96" customHeight="1" x14ac:dyDescent="0.25">
      <c r="A64" s="998"/>
      <c r="B64" s="981" t="s">
        <v>1479</v>
      </c>
      <c r="C64" s="975"/>
      <c r="D64" s="997"/>
      <c r="E64" s="949"/>
      <c r="F64" s="950"/>
      <c r="G64" s="977"/>
    </row>
    <row r="65" spans="1:7" s="978" customFormat="1" x14ac:dyDescent="0.25">
      <c r="A65" s="998"/>
      <c r="B65" s="981"/>
      <c r="C65" s="975"/>
      <c r="D65" s="997"/>
      <c r="E65" s="949"/>
      <c r="F65" s="950"/>
      <c r="G65" s="977"/>
    </row>
    <row r="66" spans="1:7" s="978" customFormat="1" ht="18" customHeight="1" x14ac:dyDescent="0.25">
      <c r="A66" s="998"/>
      <c r="B66" s="983" t="s">
        <v>1480</v>
      </c>
      <c r="C66" s="975"/>
      <c r="D66" s="997"/>
      <c r="E66" s="949"/>
      <c r="F66" s="950"/>
      <c r="G66" s="977"/>
    </row>
    <row r="67" spans="1:7" s="978" customFormat="1" x14ac:dyDescent="0.25">
      <c r="A67" s="980"/>
      <c r="B67" s="983"/>
      <c r="C67" s="975"/>
      <c r="D67" s="997"/>
      <c r="E67" s="949"/>
      <c r="F67" s="950"/>
      <c r="G67" s="977"/>
    </row>
    <row r="68" spans="1:7" s="978" customFormat="1" x14ac:dyDescent="0.25">
      <c r="A68" s="980" t="s">
        <v>1442</v>
      </c>
      <c r="B68" s="995" t="s">
        <v>1481</v>
      </c>
      <c r="C68" s="975"/>
      <c r="D68" s="949"/>
      <c r="E68" s="949"/>
      <c r="F68" s="950"/>
      <c r="G68" s="977"/>
    </row>
    <row r="69" spans="1:7" s="978" customFormat="1" ht="41.4" x14ac:dyDescent="0.25">
      <c r="A69" s="980"/>
      <c r="B69" s="983" t="s">
        <v>1482</v>
      </c>
      <c r="C69" s="975"/>
      <c r="D69" s="997"/>
      <c r="E69" s="949"/>
      <c r="F69" s="950"/>
      <c r="G69" s="977"/>
    </row>
    <row r="70" spans="1:7" s="978" customFormat="1" x14ac:dyDescent="0.25">
      <c r="A70" s="980"/>
      <c r="B70" s="983"/>
      <c r="C70" s="975"/>
      <c r="D70" s="997"/>
      <c r="E70" s="949"/>
      <c r="F70" s="950"/>
      <c r="G70" s="977"/>
    </row>
    <row r="71" spans="1:7" s="978" customFormat="1" x14ac:dyDescent="0.25">
      <c r="A71" s="980" t="s">
        <v>1444</v>
      </c>
      <c r="B71" s="999" t="s">
        <v>1483</v>
      </c>
      <c r="C71" s="975"/>
      <c r="D71" s="949"/>
      <c r="E71" s="949"/>
      <c r="F71" s="950"/>
      <c r="G71" s="977"/>
    </row>
    <row r="72" spans="1:7" s="978" customFormat="1" ht="36.6" customHeight="1" x14ac:dyDescent="0.25">
      <c r="A72" s="980"/>
      <c r="B72" s="983" t="s">
        <v>1484</v>
      </c>
      <c r="C72" s="975"/>
      <c r="D72" s="997"/>
      <c r="E72" s="949"/>
      <c r="F72" s="950"/>
      <c r="G72" s="977"/>
    </row>
    <row r="73" spans="1:7" s="978" customFormat="1" x14ac:dyDescent="0.25">
      <c r="A73" s="980"/>
      <c r="B73" s="983"/>
      <c r="C73" s="975"/>
      <c r="D73" s="997"/>
      <c r="E73" s="949"/>
      <c r="F73" s="950"/>
      <c r="G73" s="977"/>
    </row>
    <row r="74" spans="1:7" s="978" customFormat="1" x14ac:dyDescent="0.25">
      <c r="A74" s="980" t="s">
        <v>1446</v>
      </c>
      <c r="B74" s="995" t="s">
        <v>1485</v>
      </c>
      <c r="C74" s="975"/>
      <c r="D74" s="949"/>
      <c r="E74" s="949"/>
      <c r="F74" s="950"/>
      <c r="G74" s="977"/>
    </row>
    <row r="75" spans="1:7" s="978" customFormat="1" ht="21.6" customHeight="1" x14ac:dyDescent="0.25">
      <c r="A75" s="980"/>
      <c r="B75" s="983" t="s">
        <v>1486</v>
      </c>
      <c r="C75" s="975"/>
      <c r="D75" s="997"/>
      <c r="E75" s="949"/>
      <c r="F75" s="950"/>
      <c r="G75" s="977"/>
    </row>
    <row r="76" spans="1:7" s="978" customFormat="1" x14ac:dyDescent="0.25">
      <c r="A76" s="980"/>
      <c r="B76" s="983"/>
      <c r="C76" s="975"/>
      <c r="D76" s="997"/>
      <c r="E76" s="949"/>
      <c r="F76" s="950"/>
      <c r="G76" s="977"/>
    </row>
    <row r="77" spans="1:7" s="978" customFormat="1" x14ac:dyDescent="0.25">
      <c r="A77" s="980" t="s">
        <v>1448</v>
      </c>
      <c r="B77" s="995" t="s">
        <v>1487</v>
      </c>
      <c r="C77" s="975"/>
      <c r="D77" s="949"/>
      <c r="E77" s="949"/>
      <c r="F77" s="950"/>
      <c r="G77" s="977"/>
    </row>
    <row r="78" spans="1:7" s="978" customFormat="1" ht="16.8" customHeight="1" x14ac:dyDescent="0.25">
      <c r="A78" s="996"/>
      <c r="B78" s="983" t="s">
        <v>1488</v>
      </c>
      <c r="C78" s="975"/>
      <c r="D78" s="1000"/>
      <c r="E78" s="949"/>
      <c r="F78" s="950"/>
      <c r="G78" s="977"/>
    </row>
    <row r="79" spans="1:7" s="978" customFormat="1" x14ac:dyDescent="0.25">
      <c r="A79" s="996"/>
      <c r="B79" s="983"/>
      <c r="C79" s="975"/>
      <c r="D79" s="1000"/>
      <c r="E79" s="949"/>
      <c r="F79" s="950"/>
      <c r="G79" s="977"/>
    </row>
    <row r="80" spans="1:7" s="978" customFormat="1" ht="19.8" customHeight="1" x14ac:dyDescent="0.25">
      <c r="A80" s="994"/>
      <c r="B80" s="974" t="s">
        <v>1489</v>
      </c>
      <c r="C80" s="947"/>
      <c r="D80" s="1001" t="s">
        <v>1362</v>
      </c>
      <c r="E80" s="949"/>
      <c r="F80" s="950"/>
      <c r="G80" s="977"/>
    </row>
    <row r="81" spans="1:21" s="978" customFormat="1" x14ac:dyDescent="0.25">
      <c r="A81" s="1384"/>
      <c r="B81" s="1385"/>
      <c r="C81" s="1386"/>
      <c r="D81" s="1387"/>
      <c r="E81" s="1320"/>
      <c r="F81" s="1321"/>
      <c r="G81" s="977"/>
    </row>
    <row r="82" spans="1:21" s="978" customFormat="1" ht="30" customHeight="1" x14ac:dyDescent="0.25">
      <c r="A82" s="1388"/>
      <c r="B82" s="1389" t="s">
        <v>1490</v>
      </c>
      <c r="C82" s="1390"/>
      <c r="D82" s="1391"/>
      <c r="E82" s="1382"/>
      <c r="F82" s="1383"/>
      <c r="G82" s="977"/>
    </row>
    <row r="83" spans="1:21" s="978" customFormat="1" x14ac:dyDescent="0.25">
      <c r="A83" s="994"/>
      <c r="B83" s="995"/>
      <c r="C83" s="947"/>
      <c r="D83" s="1002"/>
      <c r="E83" s="949"/>
      <c r="F83" s="950"/>
      <c r="G83" s="977"/>
    </row>
    <row r="84" spans="1:21" s="978" customFormat="1" ht="46.8" customHeight="1" x14ac:dyDescent="0.25">
      <c r="A84" s="994"/>
      <c r="B84" s="999" t="s">
        <v>1491</v>
      </c>
      <c r="C84" s="947"/>
      <c r="D84" s="1002"/>
      <c r="E84" s="949"/>
      <c r="F84" s="950"/>
      <c r="G84" s="977"/>
    </row>
    <row r="85" spans="1:21" s="978" customFormat="1" x14ac:dyDescent="0.25">
      <c r="A85" s="994"/>
      <c r="B85" s="983"/>
      <c r="C85" s="947"/>
      <c r="D85" s="1002"/>
      <c r="E85" s="949"/>
      <c r="F85" s="950"/>
      <c r="G85" s="977"/>
    </row>
    <row r="86" spans="1:21" s="978" customFormat="1" ht="48" customHeight="1" x14ac:dyDescent="0.25">
      <c r="A86" s="994"/>
      <c r="B86" s="995" t="s">
        <v>1492</v>
      </c>
      <c r="C86" s="947"/>
      <c r="D86" s="1002"/>
      <c r="E86" s="949"/>
      <c r="F86" s="950"/>
      <c r="G86" s="977"/>
    </row>
    <row r="87" spans="1:21" s="978" customFormat="1" x14ac:dyDescent="0.25">
      <c r="A87" s="994"/>
      <c r="B87" s="995"/>
      <c r="C87" s="947"/>
      <c r="D87" s="1002"/>
      <c r="E87" s="949"/>
      <c r="F87" s="950"/>
      <c r="G87" s="977"/>
    </row>
    <row r="88" spans="1:21" s="978" customFormat="1" ht="35.4" customHeight="1" x14ac:dyDescent="0.25">
      <c r="A88" s="994"/>
      <c r="B88" s="995" t="s">
        <v>1493</v>
      </c>
      <c r="C88" s="947"/>
      <c r="D88" s="1002"/>
      <c r="E88" s="949"/>
      <c r="F88" s="950"/>
      <c r="G88" s="977"/>
    </row>
    <row r="89" spans="1:21" s="978" customFormat="1" x14ac:dyDescent="0.25">
      <c r="A89" s="994"/>
      <c r="B89" s="995"/>
      <c r="C89" s="947"/>
      <c r="D89" s="1002"/>
      <c r="E89" s="949"/>
      <c r="F89" s="950"/>
      <c r="G89" s="977"/>
    </row>
    <row r="90" spans="1:21" s="978" customFormat="1" ht="33" customHeight="1" x14ac:dyDescent="0.25">
      <c r="A90" s="994"/>
      <c r="B90" s="995" t="s">
        <v>1494</v>
      </c>
      <c r="C90" s="947"/>
      <c r="D90" s="1002"/>
      <c r="E90" s="949"/>
      <c r="F90" s="950"/>
      <c r="G90" s="977"/>
    </row>
    <row r="91" spans="1:21" s="978" customFormat="1" x14ac:dyDescent="0.25">
      <c r="A91" s="994"/>
      <c r="B91" s="995"/>
      <c r="C91" s="947"/>
      <c r="D91" s="1002"/>
      <c r="E91" s="949"/>
      <c r="F91" s="950"/>
      <c r="G91" s="977"/>
    </row>
    <row r="92" spans="1:21" s="978" customFormat="1" ht="34.799999999999997" customHeight="1" x14ac:dyDescent="0.25">
      <c r="A92" s="994"/>
      <c r="B92" s="995" t="s">
        <v>1495</v>
      </c>
      <c r="C92" s="947"/>
      <c r="D92" s="1002"/>
      <c r="E92" s="949"/>
      <c r="F92" s="950"/>
      <c r="G92" s="977"/>
    </row>
    <row r="93" spans="1:21" s="978" customFormat="1" ht="22.2" customHeight="1" x14ac:dyDescent="0.25">
      <c r="A93" s="994"/>
      <c r="B93" s="995" t="s">
        <v>1496</v>
      </c>
      <c r="C93" s="947"/>
      <c r="D93" s="1002"/>
      <c r="E93" s="949"/>
      <c r="F93" s="950"/>
      <c r="G93" s="977"/>
      <c r="S93" s="1003"/>
      <c r="T93" s="1004"/>
      <c r="U93" s="1003"/>
    </row>
    <row r="94" spans="1:21" s="978" customFormat="1" x14ac:dyDescent="0.25">
      <c r="A94" s="994"/>
      <c r="B94" s="995"/>
      <c r="C94" s="947"/>
      <c r="D94" s="1002"/>
      <c r="E94" s="949"/>
      <c r="F94" s="950"/>
      <c r="G94" s="977"/>
      <c r="S94" s="1003"/>
      <c r="T94" s="1004"/>
      <c r="U94" s="1003"/>
    </row>
    <row r="95" spans="1:21" s="978" customFormat="1" ht="18" customHeight="1" x14ac:dyDescent="0.25">
      <c r="A95" s="994"/>
      <c r="B95" s="995" t="s">
        <v>1497</v>
      </c>
      <c r="C95" s="947"/>
      <c r="D95" s="1002"/>
      <c r="E95" s="949"/>
      <c r="F95" s="950"/>
      <c r="G95" s="977"/>
      <c r="S95" s="1003"/>
      <c r="T95" s="1004"/>
      <c r="U95" s="1003"/>
    </row>
    <row r="96" spans="1:21" s="978" customFormat="1" x14ac:dyDescent="0.25">
      <c r="A96" s="994"/>
      <c r="B96" s="995"/>
      <c r="C96" s="947"/>
      <c r="D96" s="1002"/>
      <c r="E96" s="949"/>
      <c r="F96" s="950"/>
      <c r="G96" s="977"/>
      <c r="S96" s="1003"/>
      <c r="T96" s="1004"/>
      <c r="U96" s="1003"/>
    </row>
    <row r="97" spans="1:21" s="978" customFormat="1" ht="34.200000000000003" customHeight="1" x14ac:dyDescent="0.25">
      <c r="A97" s="994"/>
      <c r="B97" s="995" t="s">
        <v>1498</v>
      </c>
      <c r="C97" s="947"/>
      <c r="D97" s="1002"/>
      <c r="E97" s="949"/>
      <c r="F97" s="950"/>
      <c r="G97" s="977"/>
      <c r="S97" s="1003"/>
      <c r="T97" s="1004"/>
      <c r="U97" s="1003"/>
    </row>
    <row r="98" spans="1:21" s="978" customFormat="1" x14ac:dyDescent="0.25">
      <c r="A98" s="994"/>
      <c r="B98" s="995"/>
      <c r="C98" s="947"/>
      <c r="D98" s="1002"/>
      <c r="E98" s="949"/>
      <c r="F98" s="950"/>
      <c r="G98" s="977"/>
      <c r="S98" s="1003"/>
      <c r="T98" s="1004"/>
      <c r="U98" s="1003"/>
    </row>
    <row r="99" spans="1:21" s="978" customFormat="1" ht="34.200000000000003" customHeight="1" x14ac:dyDescent="0.25">
      <c r="A99" s="994"/>
      <c r="B99" s="1005" t="s">
        <v>1499</v>
      </c>
      <c r="C99" s="947"/>
      <c r="D99" s="1002"/>
      <c r="E99" s="949"/>
      <c r="F99" s="950"/>
      <c r="G99" s="977"/>
      <c r="S99" s="1003"/>
      <c r="T99" s="1004"/>
      <c r="U99" s="1003"/>
    </row>
    <row r="100" spans="1:21" s="978" customFormat="1" x14ac:dyDescent="0.25">
      <c r="A100" s="994"/>
      <c r="B100" s="981"/>
      <c r="C100" s="947"/>
      <c r="D100" s="1002"/>
      <c r="E100" s="949"/>
      <c r="F100" s="950"/>
      <c r="G100" s="977"/>
      <c r="S100" s="1003"/>
      <c r="T100" s="1004"/>
      <c r="U100" s="1003"/>
    </row>
    <row r="101" spans="1:21" s="978" customFormat="1" ht="35.4" customHeight="1" x14ac:dyDescent="0.25">
      <c r="A101" s="994"/>
      <c r="B101" s="995" t="s">
        <v>1500</v>
      </c>
      <c r="C101" s="947"/>
      <c r="D101" s="1002"/>
      <c r="E101" s="949"/>
      <c r="F101" s="950"/>
      <c r="G101" s="977"/>
      <c r="S101" s="1003"/>
      <c r="T101" s="1004"/>
      <c r="U101" s="1003"/>
    </row>
    <row r="102" spans="1:21" s="978" customFormat="1" x14ac:dyDescent="0.25">
      <c r="A102" s="994"/>
      <c r="B102" s="1005"/>
      <c r="C102" s="947"/>
      <c r="D102" s="1002"/>
      <c r="E102" s="949"/>
      <c r="F102" s="950"/>
      <c r="G102" s="977"/>
      <c r="S102" s="1003"/>
      <c r="T102" s="1004"/>
      <c r="U102" s="1003"/>
    </row>
    <row r="103" spans="1:21" s="978" customFormat="1" ht="37.200000000000003" customHeight="1" x14ac:dyDescent="0.25">
      <c r="A103" s="994"/>
      <c r="B103" s="995" t="s">
        <v>1501</v>
      </c>
      <c r="C103" s="947"/>
      <c r="D103" s="1002"/>
      <c r="E103" s="949"/>
      <c r="F103" s="950"/>
      <c r="G103" s="977"/>
      <c r="S103" s="1003"/>
      <c r="T103" s="1004"/>
      <c r="U103" s="1003"/>
    </row>
    <row r="104" spans="1:21" s="978" customFormat="1" x14ac:dyDescent="0.25">
      <c r="A104" s="994"/>
      <c r="B104" s="995"/>
      <c r="C104" s="947"/>
      <c r="D104" s="1002"/>
      <c r="E104" s="949"/>
      <c r="F104" s="950"/>
      <c r="G104" s="977"/>
      <c r="S104" s="1003"/>
      <c r="T104" s="1004"/>
      <c r="U104" s="1003"/>
    </row>
    <row r="105" spans="1:21" s="978" customFormat="1" ht="33" customHeight="1" x14ac:dyDescent="0.25">
      <c r="A105" s="994"/>
      <c r="B105" s="995" t="s">
        <v>1502</v>
      </c>
      <c r="C105" s="947"/>
      <c r="D105" s="1002"/>
      <c r="E105" s="949"/>
      <c r="F105" s="950"/>
      <c r="G105" s="977"/>
      <c r="S105" s="1003"/>
      <c r="T105" s="1004"/>
      <c r="U105" s="1003"/>
    </row>
    <row r="106" spans="1:21" s="978" customFormat="1" x14ac:dyDescent="0.25">
      <c r="A106" s="994"/>
      <c r="B106" s="995"/>
      <c r="C106" s="947"/>
      <c r="D106" s="1002"/>
      <c r="E106" s="949"/>
      <c r="F106" s="950"/>
      <c r="G106" s="977"/>
      <c r="S106" s="1003"/>
      <c r="T106" s="1004"/>
      <c r="U106" s="1003"/>
    </row>
    <row r="107" spans="1:21" s="978" customFormat="1" ht="18" customHeight="1" x14ac:dyDescent="0.25">
      <c r="A107" s="994"/>
      <c r="B107" s="1006" t="s">
        <v>1503</v>
      </c>
      <c r="C107" s="947"/>
      <c r="D107" s="1002"/>
      <c r="E107" s="949"/>
      <c r="F107" s="950"/>
      <c r="G107" s="977"/>
      <c r="S107" s="1003"/>
      <c r="T107" s="1004"/>
      <c r="U107" s="1003"/>
    </row>
    <row r="108" spans="1:21" s="978" customFormat="1" x14ac:dyDescent="0.25">
      <c r="A108" s="994"/>
      <c r="B108" s="995"/>
      <c r="C108" s="947"/>
      <c r="D108" s="1002"/>
      <c r="E108" s="949"/>
      <c r="F108" s="950"/>
      <c r="G108" s="977"/>
      <c r="S108" s="1003"/>
      <c r="T108" s="1004"/>
      <c r="U108" s="1003"/>
    </row>
    <row r="109" spans="1:21" s="978" customFormat="1" ht="35.4" customHeight="1" x14ac:dyDescent="0.25">
      <c r="A109" s="994"/>
      <c r="B109" s="995" t="s">
        <v>1504</v>
      </c>
      <c r="C109" s="947"/>
      <c r="D109" s="1002"/>
      <c r="E109" s="949"/>
      <c r="F109" s="950"/>
      <c r="G109" s="977"/>
      <c r="S109" s="1003"/>
      <c r="T109" s="1004"/>
      <c r="U109" s="1003"/>
    </row>
    <row r="110" spans="1:21" s="978" customFormat="1" x14ac:dyDescent="0.25">
      <c r="A110" s="994"/>
      <c r="B110" s="995"/>
      <c r="C110" s="947"/>
      <c r="D110" s="1002"/>
      <c r="E110" s="949"/>
      <c r="F110" s="950"/>
      <c r="G110" s="977"/>
      <c r="S110" s="1003"/>
      <c r="T110" s="1004"/>
      <c r="U110" s="1003"/>
    </row>
    <row r="111" spans="1:21" s="978" customFormat="1" ht="35.4" customHeight="1" x14ac:dyDescent="0.25">
      <c r="A111" s="994"/>
      <c r="B111" s="995" t="s">
        <v>1505</v>
      </c>
      <c r="C111" s="947"/>
      <c r="D111" s="1002"/>
      <c r="E111" s="949"/>
      <c r="F111" s="950"/>
      <c r="G111" s="977"/>
      <c r="S111" s="1003"/>
      <c r="T111" s="1004"/>
      <c r="U111" s="1003"/>
    </row>
    <row r="112" spans="1:21" s="978" customFormat="1" x14ac:dyDescent="0.25">
      <c r="A112" s="994"/>
      <c r="B112" s="983"/>
      <c r="C112" s="947"/>
      <c r="D112" s="1002"/>
      <c r="E112" s="949"/>
      <c r="F112" s="950"/>
      <c r="G112" s="977"/>
      <c r="S112" s="1003"/>
      <c r="T112" s="1004"/>
      <c r="U112" s="1003"/>
    </row>
    <row r="113" spans="1:21" s="978" customFormat="1" ht="36.6" customHeight="1" x14ac:dyDescent="0.25">
      <c r="A113" s="994"/>
      <c r="B113" s="983" t="s">
        <v>1506</v>
      </c>
      <c r="C113" s="947"/>
      <c r="D113" s="1002"/>
      <c r="E113" s="949"/>
      <c r="F113" s="950"/>
      <c r="G113" s="977"/>
      <c r="S113" s="1003"/>
      <c r="T113" s="1004"/>
      <c r="U113" s="1003"/>
    </row>
    <row r="114" spans="1:21" s="978" customFormat="1" x14ac:dyDescent="0.25">
      <c r="A114" s="994"/>
      <c r="B114" s="983"/>
      <c r="C114" s="947"/>
      <c r="D114" s="1002"/>
      <c r="E114" s="949"/>
      <c r="F114" s="950"/>
      <c r="G114" s="977"/>
      <c r="S114" s="1003"/>
      <c r="T114" s="1004"/>
      <c r="U114" s="1003"/>
    </row>
    <row r="115" spans="1:21" s="978" customFormat="1" ht="34.200000000000003" customHeight="1" x14ac:dyDescent="0.25">
      <c r="A115" s="1007"/>
      <c r="B115" s="988" t="s">
        <v>1507</v>
      </c>
      <c r="C115" s="975"/>
      <c r="D115" s="949" t="s">
        <v>1362</v>
      </c>
      <c r="E115" s="949"/>
      <c r="F115" s="1008"/>
      <c r="G115" s="977"/>
    </row>
    <row r="116" spans="1:21" s="978" customFormat="1" x14ac:dyDescent="0.25">
      <c r="A116" s="1007"/>
      <c r="B116" s="1009"/>
      <c r="C116" s="975"/>
      <c r="D116" s="1000"/>
      <c r="E116" s="949"/>
      <c r="F116" s="1008"/>
      <c r="G116" s="977"/>
    </row>
    <row r="117" spans="1:21" s="978" customFormat="1" ht="34.799999999999997" customHeight="1" x14ac:dyDescent="0.25">
      <c r="A117" s="1007"/>
      <c r="B117" s="988" t="s">
        <v>1508</v>
      </c>
      <c r="C117" s="947"/>
      <c r="D117" s="1002" t="s">
        <v>1362</v>
      </c>
      <c r="E117" s="949"/>
      <c r="F117" s="1008"/>
      <c r="G117" s="977"/>
    </row>
    <row r="118" spans="1:21" s="978" customFormat="1" x14ac:dyDescent="0.25">
      <c r="A118" s="1007"/>
      <c r="B118" s="988"/>
      <c r="C118" s="947"/>
      <c r="D118" s="1002"/>
      <c r="E118" s="949"/>
      <c r="F118" s="1008"/>
      <c r="G118" s="977"/>
    </row>
    <row r="119" spans="1:21" s="978" customFormat="1" ht="34.799999999999997" customHeight="1" x14ac:dyDescent="0.25">
      <c r="A119" s="1007"/>
      <c r="B119" s="988" t="s">
        <v>1509</v>
      </c>
      <c r="C119" s="947"/>
      <c r="D119" s="1002" t="s">
        <v>1362</v>
      </c>
      <c r="E119" s="949"/>
      <c r="F119" s="1008"/>
      <c r="G119" s="977"/>
    </row>
    <row r="120" spans="1:21" s="978" customFormat="1" x14ac:dyDescent="0.25">
      <c r="A120" s="1392"/>
      <c r="B120" s="1393"/>
      <c r="C120" s="1386"/>
      <c r="D120" s="1387"/>
      <c r="E120" s="1320"/>
      <c r="F120" s="1138"/>
      <c r="G120" s="977"/>
    </row>
    <row r="121" spans="1:21" s="978" customFormat="1" ht="46.2" customHeight="1" x14ac:dyDescent="0.25">
      <c r="A121" s="1394"/>
      <c r="B121" s="1395" t="s">
        <v>1510</v>
      </c>
      <c r="C121" s="1390"/>
      <c r="D121" s="1391" t="s">
        <v>1362</v>
      </c>
      <c r="E121" s="1382"/>
      <c r="F121" s="1142"/>
      <c r="G121" s="977"/>
    </row>
    <row r="122" spans="1:21" s="978" customFormat="1" x14ac:dyDescent="0.25">
      <c r="A122" s="1007"/>
      <c r="B122" s="988"/>
      <c r="C122" s="947"/>
      <c r="D122" s="1002"/>
      <c r="E122" s="949"/>
      <c r="F122" s="1008"/>
      <c r="G122" s="977"/>
    </row>
    <row r="123" spans="1:21" s="978" customFormat="1" ht="35.4" customHeight="1" x14ac:dyDescent="0.25">
      <c r="A123" s="1007"/>
      <c r="B123" s="988" t="s">
        <v>1511</v>
      </c>
      <c r="C123" s="947"/>
      <c r="D123" s="1002" t="s">
        <v>1362</v>
      </c>
      <c r="E123" s="949"/>
      <c r="F123" s="1008"/>
      <c r="G123" s="977"/>
    </row>
    <row r="124" spans="1:21" s="978" customFormat="1" x14ac:dyDescent="0.25">
      <c r="A124" s="1007"/>
      <c r="B124" s="988"/>
      <c r="C124" s="947"/>
      <c r="D124" s="1002"/>
      <c r="E124" s="949"/>
      <c r="F124" s="1008"/>
      <c r="G124" s="977"/>
    </row>
    <row r="125" spans="1:21" s="978" customFormat="1" ht="35.4" customHeight="1" x14ac:dyDescent="0.25">
      <c r="A125" s="1007"/>
      <c r="B125" s="988" t="s">
        <v>1512</v>
      </c>
      <c r="C125" s="947"/>
      <c r="D125" s="1002" t="s">
        <v>1362</v>
      </c>
      <c r="E125" s="949"/>
      <c r="F125" s="1008"/>
      <c r="G125" s="977"/>
    </row>
    <row r="126" spans="1:21" s="978" customFormat="1" x14ac:dyDescent="0.25">
      <c r="A126" s="1007"/>
      <c r="B126" s="988"/>
      <c r="C126" s="947"/>
      <c r="D126" s="1002"/>
      <c r="E126" s="949"/>
      <c r="F126" s="1008"/>
      <c r="G126" s="977"/>
    </row>
    <row r="127" spans="1:21" s="978" customFormat="1" ht="32.4" customHeight="1" x14ac:dyDescent="0.25">
      <c r="A127" s="1007"/>
      <c r="B127" s="988" t="s">
        <v>1513</v>
      </c>
      <c r="C127" s="947"/>
      <c r="D127" s="1002" t="s">
        <v>1362</v>
      </c>
      <c r="E127" s="949"/>
      <c r="F127" s="1008"/>
      <c r="G127" s="977"/>
    </row>
    <row r="128" spans="1:21" s="978" customFormat="1" x14ac:dyDescent="0.25">
      <c r="A128" s="1007"/>
      <c r="B128" s="988"/>
      <c r="C128" s="947"/>
      <c r="D128" s="1002"/>
      <c r="E128" s="949"/>
      <c r="F128" s="1008"/>
      <c r="G128" s="977"/>
    </row>
    <row r="129" spans="1:23" s="978" customFormat="1" ht="37.200000000000003" customHeight="1" x14ac:dyDescent="0.25">
      <c r="A129" s="1007"/>
      <c r="B129" s="988" t="s">
        <v>1514</v>
      </c>
      <c r="C129" s="947"/>
      <c r="D129" s="1002" t="s">
        <v>1362</v>
      </c>
      <c r="E129" s="949"/>
      <c r="F129" s="1008"/>
      <c r="G129" s="977"/>
    </row>
    <row r="130" spans="1:23" s="978" customFormat="1" x14ac:dyDescent="0.25">
      <c r="A130" s="1007"/>
      <c r="B130" s="988"/>
      <c r="C130" s="947"/>
      <c r="D130" s="1002"/>
      <c r="E130" s="949"/>
      <c r="F130" s="1008"/>
      <c r="G130" s="977"/>
    </row>
    <row r="131" spans="1:23" s="978" customFormat="1" x14ac:dyDescent="0.25">
      <c r="A131" s="1010"/>
      <c r="B131" s="1011" t="s">
        <v>1415</v>
      </c>
      <c r="C131" s="947"/>
      <c r="D131" s="1002"/>
      <c r="E131" s="949"/>
      <c r="F131" s="1008"/>
      <c r="U131" s="1003"/>
      <c r="V131" s="1004"/>
      <c r="W131" s="1003"/>
    </row>
    <row r="132" spans="1:23" s="1013" customFormat="1" x14ac:dyDescent="0.25">
      <c r="A132" s="1007"/>
      <c r="B132" s="988"/>
      <c r="C132" s="947"/>
      <c r="D132" s="1002"/>
      <c r="E132" s="949"/>
      <c r="F132" s="1008"/>
      <c r="G132" s="1012"/>
    </row>
    <row r="133" spans="1:23" s="978" customFormat="1" x14ac:dyDescent="0.25">
      <c r="A133" s="1010">
        <f>IF(C133&gt;0,COUNT(C$132:C133),"")</f>
        <v>1</v>
      </c>
      <c r="B133" s="1014" t="s">
        <v>1515</v>
      </c>
      <c r="C133" s="947">
        <v>1</v>
      </c>
      <c r="D133" s="1002" t="s">
        <v>981</v>
      </c>
      <c r="E133" s="949">
        <v>3500000</v>
      </c>
      <c r="F133" s="1008">
        <f>E133*C133</f>
        <v>3500000</v>
      </c>
      <c r="G133" s="977"/>
      <c r="S133" s="1003"/>
      <c r="T133" s="1004"/>
      <c r="U133" s="1003"/>
    </row>
    <row r="134" spans="1:23" s="978" customFormat="1" x14ac:dyDescent="0.25">
      <c r="A134" s="1010" t="str">
        <f>IF(C134&gt;0,COUNT(C$132:C134),"")</f>
        <v/>
      </c>
      <c r="B134" s="1015" t="s">
        <v>1516</v>
      </c>
      <c r="C134" s="947"/>
      <c r="D134" s="1002"/>
      <c r="E134" s="949"/>
      <c r="F134" s="1008"/>
      <c r="G134" s="977"/>
      <c r="S134" s="1003"/>
      <c r="T134" s="1004"/>
      <c r="U134" s="1003"/>
    </row>
    <row r="135" spans="1:23" s="978" customFormat="1" x14ac:dyDescent="0.25">
      <c r="A135" s="1010" t="str">
        <f>IF(C135&gt;0,COUNT(C$132:C135),"")</f>
        <v/>
      </c>
      <c r="B135" s="1015" t="s">
        <v>1517</v>
      </c>
      <c r="C135" s="947"/>
      <c r="D135" s="1002"/>
      <c r="E135" s="949"/>
      <c r="F135" s="1008"/>
      <c r="G135" s="977"/>
      <c r="S135" s="1003"/>
      <c r="T135" s="1004"/>
      <c r="U135" s="1003"/>
    </row>
    <row r="136" spans="1:23" s="978" customFormat="1" x14ac:dyDescent="0.25">
      <c r="A136" s="1010" t="str">
        <f>IF(C136&gt;0,COUNT(C$132:C136),"")</f>
        <v/>
      </c>
      <c r="B136" s="946" t="s">
        <v>1518</v>
      </c>
      <c r="C136" s="947"/>
      <c r="D136" s="1002"/>
      <c r="E136" s="949"/>
      <c r="F136" s="1008"/>
      <c r="G136" s="977"/>
      <c r="S136" s="1003"/>
      <c r="T136" s="1004"/>
      <c r="U136" s="1003"/>
    </row>
    <row r="137" spans="1:23" s="978" customFormat="1" x14ac:dyDescent="0.25">
      <c r="A137" s="1010" t="str">
        <f>IF(C137&gt;0,COUNT(C$132:C137),"")</f>
        <v/>
      </c>
      <c r="B137" s="946" t="s">
        <v>1519</v>
      </c>
      <c r="C137" s="947"/>
      <c r="D137" s="1002"/>
      <c r="E137" s="949"/>
      <c r="F137" s="1008"/>
      <c r="G137" s="977"/>
      <c r="S137" s="1003"/>
      <c r="T137" s="1004"/>
      <c r="U137" s="1003"/>
    </row>
    <row r="138" spans="1:23" s="978" customFormat="1" x14ac:dyDescent="0.25">
      <c r="A138" s="1010" t="str">
        <f>IF(C138&gt;0,COUNT(C$132:C138),"")</f>
        <v/>
      </c>
      <c r="B138" s="946" t="s">
        <v>1520</v>
      </c>
      <c r="C138" s="947"/>
      <c r="D138" s="1002"/>
      <c r="E138" s="949"/>
      <c r="F138" s="1008"/>
      <c r="G138" s="977"/>
      <c r="S138" s="1003"/>
      <c r="T138" s="1004"/>
      <c r="U138" s="1003"/>
    </row>
    <row r="139" spans="1:23" s="978" customFormat="1" x14ac:dyDescent="0.25">
      <c r="A139" s="1010" t="str">
        <f>IF(C139&gt;0,COUNT(C$132:C139),"")</f>
        <v/>
      </c>
      <c r="B139" s="946" t="s">
        <v>1521</v>
      </c>
      <c r="C139" s="947"/>
      <c r="D139" s="1002"/>
      <c r="E139" s="949"/>
      <c r="F139" s="1008"/>
      <c r="G139" s="977"/>
      <c r="S139" s="1003"/>
      <c r="T139" s="1004"/>
      <c r="U139" s="1003"/>
    </row>
    <row r="140" spans="1:23" s="978" customFormat="1" x14ac:dyDescent="0.25">
      <c r="A140" s="1010" t="str">
        <f>IF(C140&gt;0,COUNT(C$132:C140),"")</f>
        <v/>
      </c>
      <c r="B140" s="946" t="s">
        <v>1522</v>
      </c>
      <c r="C140" s="947"/>
      <c r="D140" s="1002"/>
      <c r="E140" s="949"/>
      <c r="F140" s="1008"/>
      <c r="G140" s="977"/>
      <c r="S140" s="1003"/>
      <c r="T140" s="1004"/>
      <c r="U140" s="1003"/>
    </row>
    <row r="141" spans="1:23" s="978" customFormat="1" x14ac:dyDescent="0.25">
      <c r="A141" s="1010" t="str">
        <f>IF(C141&gt;0,COUNT(C$132:C141),"")</f>
        <v/>
      </c>
      <c r="B141" s="946" t="s">
        <v>1523</v>
      </c>
      <c r="C141" s="947"/>
      <c r="D141" s="1002"/>
      <c r="E141" s="949"/>
      <c r="F141" s="1008"/>
      <c r="G141" s="977"/>
      <c r="S141" s="1003"/>
      <c r="T141" s="1004"/>
      <c r="U141" s="1003"/>
    </row>
    <row r="142" spans="1:23" s="978" customFormat="1" x14ac:dyDescent="0.25">
      <c r="A142" s="1010" t="str">
        <f>IF(C142&gt;0,COUNT(C$132:C142),"")</f>
        <v/>
      </c>
      <c r="B142" s="946" t="s">
        <v>1524</v>
      </c>
      <c r="C142" s="947"/>
      <c r="D142" s="1002"/>
      <c r="E142" s="949"/>
      <c r="F142" s="1008"/>
      <c r="G142" s="977"/>
      <c r="S142" s="1003"/>
      <c r="T142" s="1004"/>
      <c r="U142" s="1003"/>
    </row>
    <row r="143" spans="1:23" s="978" customFormat="1" ht="16.8" customHeight="1" x14ac:dyDescent="0.25">
      <c r="A143" s="1010" t="str">
        <f>IF(C143&gt;0,COUNT(C$132:C143),"")</f>
        <v/>
      </c>
      <c r="B143" s="1015" t="s">
        <v>1525</v>
      </c>
      <c r="C143" s="947"/>
      <c r="D143" s="1002"/>
      <c r="E143" s="949"/>
      <c r="F143" s="1008"/>
      <c r="G143" s="977"/>
      <c r="S143" s="1003"/>
      <c r="T143" s="1004"/>
      <c r="U143" s="1003"/>
    </row>
    <row r="144" spans="1:23" s="978" customFormat="1" ht="31.2" customHeight="1" x14ac:dyDescent="0.25">
      <c r="A144" s="1010" t="str">
        <f>IF(C144&gt;0,COUNT(C$132:C144),"")</f>
        <v/>
      </c>
      <c r="B144" s="1016" t="s">
        <v>1526</v>
      </c>
      <c r="C144" s="947"/>
      <c r="D144" s="1002"/>
      <c r="E144" s="949"/>
      <c r="F144" s="1008"/>
      <c r="G144" s="977"/>
      <c r="S144" s="1003"/>
      <c r="T144" s="1004"/>
      <c r="U144" s="1003"/>
    </row>
    <row r="145" spans="1:21" s="978" customFormat="1" ht="35.4" customHeight="1" x14ac:dyDescent="0.25">
      <c r="A145" s="1010" t="str">
        <f>IF(C145&gt;0,COUNT(C$132:C145),"")</f>
        <v/>
      </c>
      <c r="B145" s="1016" t="s">
        <v>1527</v>
      </c>
      <c r="C145" s="947"/>
      <c r="D145" s="1002"/>
      <c r="E145" s="949"/>
      <c r="F145" s="1008"/>
      <c r="G145" s="977"/>
      <c r="S145" s="1003"/>
      <c r="T145" s="1004"/>
      <c r="U145" s="1003"/>
    </row>
    <row r="146" spans="1:21" s="978" customFormat="1" ht="30" customHeight="1" x14ac:dyDescent="0.25">
      <c r="A146" s="1010" t="str">
        <f>IF(C146&gt;0,COUNT(C$132:C146),"")</f>
        <v/>
      </c>
      <c r="B146" s="1017" t="s">
        <v>1528</v>
      </c>
      <c r="C146" s="947"/>
      <c r="D146" s="1002"/>
      <c r="E146" s="949"/>
      <c r="F146" s="1008"/>
      <c r="G146" s="977"/>
      <c r="S146" s="1003"/>
      <c r="T146" s="1004"/>
      <c r="U146" s="1003"/>
    </row>
    <row r="147" spans="1:21" s="978" customFormat="1" ht="16.8" customHeight="1" x14ac:dyDescent="0.25">
      <c r="A147" s="1010" t="str">
        <f>IF(C147&gt;0,COUNT(C$132:C147),"")</f>
        <v/>
      </c>
      <c r="B147" s="1015" t="s">
        <v>1529</v>
      </c>
      <c r="C147" s="947"/>
      <c r="D147" s="1002"/>
      <c r="E147" s="949"/>
      <c r="F147" s="1008"/>
      <c r="G147" s="977"/>
      <c r="S147" s="1003"/>
      <c r="T147" s="1004"/>
      <c r="U147" s="1003"/>
    </row>
    <row r="148" spans="1:21" s="978" customFormat="1" ht="16.8" customHeight="1" x14ac:dyDescent="0.25">
      <c r="A148" s="1010" t="str">
        <f>IF(C148&gt;0,COUNT(C$132:C148),"")</f>
        <v/>
      </c>
      <c r="B148" s="1015" t="s">
        <v>1530</v>
      </c>
      <c r="C148" s="947"/>
      <c r="D148" s="1002"/>
      <c r="E148" s="949"/>
      <c r="F148" s="1008"/>
      <c r="G148" s="977"/>
      <c r="S148" s="1003"/>
      <c r="T148" s="1004"/>
      <c r="U148" s="1003"/>
    </row>
    <row r="149" spans="1:21" s="978" customFormat="1" ht="31.8" customHeight="1" x14ac:dyDescent="0.25">
      <c r="A149" s="1010" t="str">
        <f>IF(C149&gt;0,COUNT(C$132:C149),"")</f>
        <v/>
      </c>
      <c r="B149" s="1017" t="s">
        <v>1531</v>
      </c>
      <c r="C149" s="947"/>
      <c r="D149" s="1002"/>
      <c r="E149" s="949"/>
      <c r="F149" s="1008"/>
      <c r="G149" s="977"/>
      <c r="S149" s="1003"/>
      <c r="T149" s="1004"/>
      <c r="U149" s="1003"/>
    </row>
    <row r="150" spans="1:21" s="978" customFormat="1" ht="18.600000000000001" customHeight="1" x14ac:dyDescent="0.25">
      <c r="A150" s="1010" t="str">
        <f>IF(C150&gt;0,COUNT(C$132:C150),"")</f>
        <v/>
      </c>
      <c r="B150" s="1015" t="s">
        <v>1532</v>
      </c>
      <c r="C150" s="947"/>
      <c r="D150" s="1002"/>
      <c r="E150" s="949"/>
      <c r="F150" s="1008"/>
      <c r="G150" s="977"/>
      <c r="S150" s="1003"/>
      <c r="T150" s="1004"/>
      <c r="U150" s="1003"/>
    </row>
    <row r="151" spans="1:21" s="978" customFormat="1" ht="31.8" customHeight="1" x14ac:dyDescent="0.25">
      <c r="A151" s="1010" t="str">
        <f>IF(C151&gt;0,COUNT(C$132:C151),"")</f>
        <v/>
      </c>
      <c r="B151" s="1017" t="s">
        <v>1533</v>
      </c>
      <c r="C151" s="947"/>
      <c r="D151" s="1002"/>
      <c r="E151" s="949"/>
      <c r="F151" s="1008"/>
      <c r="G151" s="977"/>
      <c r="S151" s="1003"/>
      <c r="T151" s="1004"/>
      <c r="U151" s="1003"/>
    </row>
    <row r="152" spans="1:21" s="978" customFormat="1" x14ac:dyDescent="0.25">
      <c r="A152" s="1010" t="str">
        <f>IF(C152&gt;0,COUNT(C$132:C152),"")</f>
        <v/>
      </c>
      <c r="B152" s="1017"/>
      <c r="C152" s="947"/>
      <c r="D152" s="1002"/>
      <c r="E152" s="949"/>
      <c r="F152" s="1008"/>
      <c r="G152" s="977"/>
      <c r="S152" s="1003"/>
      <c r="T152" s="1004"/>
      <c r="U152" s="1003"/>
    </row>
    <row r="153" spans="1:21" s="978" customFormat="1" x14ac:dyDescent="0.25">
      <c r="A153" s="1010">
        <f>IF(C153&gt;0,COUNT(C$132:C153),"")</f>
        <v>2</v>
      </c>
      <c r="B153" s="1018" t="s">
        <v>1534</v>
      </c>
      <c r="C153" s="947">
        <v>1</v>
      </c>
      <c r="D153" s="1002" t="s">
        <v>981</v>
      </c>
      <c r="E153" s="949">
        <v>500000</v>
      </c>
      <c r="F153" s="1008">
        <f>E153*C153</f>
        <v>500000</v>
      </c>
      <c r="G153" s="977"/>
      <c r="S153" s="1003"/>
      <c r="T153" s="1004"/>
      <c r="U153" s="1003"/>
    </row>
    <row r="154" spans="1:21" s="978" customFormat="1" x14ac:dyDescent="0.25">
      <c r="A154" s="1010" t="str">
        <f>IF(C154&gt;0,COUNT(C$132:C154),"")</f>
        <v/>
      </c>
      <c r="B154" s="1015" t="s">
        <v>1535</v>
      </c>
      <c r="C154" s="947"/>
      <c r="D154" s="1002"/>
      <c r="E154" s="949"/>
      <c r="F154" s="1008"/>
      <c r="G154" s="977"/>
      <c r="S154" s="1003"/>
      <c r="T154" s="1004"/>
      <c r="U154" s="1003"/>
    </row>
    <row r="155" spans="1:21" s="978" customFormat="1" x14ac:dyDescent="0.25">
      <c r="A155" s="1010" t="str">
        <f>IF(C155&gt;0,COUNT(C$132:C155),"")</f>
        <v/>
      </c>
      <c r="B155" s="1015" t="s">
        <v>1536</v>
      </c>
      <c r="C155" s="947"/>
      <c r="D155" s="1002"/>
      <c r="E155" s="949"/>
      <c r="F155" s="1008"/>
      <c r="G155" s="977"/>
      <c r="S155" s="1003"/>
      <c r="T155" s="1004"/>
      <c r="U155" s="1003"/>
    </row>
    <row r="156" spans="1:21" s="978" customFormat="1" x14ac:dyDescent="0.25">
      <c r="A156" s="1010" t="str">
        <f>IF(C156&gt;0,COUNT(C$132:C156),"")</f>
        <v/>
      </c>
      <c r="B156" s="1015" t="s">
        <v>1537</v>
      </c>
      <c r="C156" s="947"/>
      <c r="D156" s="1002"/>
      <c r="E156" s="949"/>
      <c r="F156" s="1008"/>
      <c r="G156" s="977"/>
      <c r="S156" s="1003"/>
      <c r="T156" s="1004"/>
      <c r="U156" s="1003"/>
    </row>
    <row r="157" spans="1:21" s="978" customFormat="1" x14ac:dyDescent="0.25">
      <c r="A157" s="1010" t="str">
        <f>IF(C157&gt;0,COUNT(C$132:C157),"")</f>
        <v/>
      </c>
      <c r="B157" s="1015" t="s">
        <v>1538</v>
      </c>
      <c r="C157" s="947"/>
      <c r="D157" s="1002"/>
      <c r="E157" s="949"/>
      <c r="F157" s="1008"/>
      <c r="G157" s="977"/>
      <c r="S157" s="1003"/>
      <c r="T157" s="1004"/>
      <c r="U157" s="1003"/>
    </row>
    <row r="158" spans="1:21" s="978" customFormat="1" x14ac:dyDescent="0.25">
      <c r="A158" s="1010" t="str">
        <f>IF(C158&gt;0,COUNT(C$132:C158),"")</f>
        <v/>
      </c>
      <c r="B158" s="1015" t="s">
        <v>1539</v>
      </c>
      <c r="C158" s="947"/>
      <c r="D158" s="1002"/>
      <c r="E158" s="949"/>
      <c r="F158" s="1008"/>
      <c r="G158" s="977"/>
      <c r="S158" s="1003"/>
      <c r="T158" s="1004"/>
      <c r="U158" s="1003"/>
    </row>
    <row r="159" spans="1:21" s="978" customFormat="1" x14ac:dyDescent="0.25">
      <c r="A159" s="1010" t="str">
        <f>IF(C159&gt;0,COUNT(C$132:C159),"")</f>
        <v/>
      </c>
      <c r="B159" s="1015" t="s">
        <v>1540</v>
      </c>
      <c r="C159" s="947"/>
      <c r="D159" s="1002"/>
      <c r="E159" s="949"/>
      <c r="F159" s="1008"/>
      <c r="G159" s="977"/>
      <c r="S159" s="1003"/>
      <c r="T159" s="1004"/>
      <c r="U159" s="1003"/>
    </row>
    <row r="160" spans="1:21" s="978" customFormat="1" x14ac:dyDescent="0.25">
      <c r="A160" s="1010" t="str">
        <f>IF(C160&gt;0,COUNT(C$132:C160),"")</f>
        <v/>
      </c>
      <c r="B160" s="1015" t="s">
        <v>71</v>
      </c>
      <c r="C160" s="947"/>
      <c r="D160" s="1002"/>
      <c r="E160" s="949"/>
      <c r="F160" s="1008"/>
      <c r="G160" s="977"/>
      <c r="S160" s="1003"/>
      <c r="T160" s="1004"/>
      <c r="U160" s="1003"/>
    </row>
    <row r="161" spans="1:21" s="978" customFormat="1" ht="33" customHeight="1" x14ac:dyDescent="0.25">
      <c r="A161" s="1010" t="str">
        <f>IF(C161&gt;0,COUNT(C$132:C161),"")</f>
        <v/>
      </c>
      <c r="B161" s="1019" t="s">
        <v>1541</v>
      </c>
      <c r="C161" s="947"/>
      <c r="D161" s="1002"/>
      <c r="E161" s="949"/>
      <c r="F161" s="1008"/>
      <c r="G161" s="977"/>
      <c r="S161" s="1003"/>
      <c r="T161" s="1004"/>
      <c r="U161" s="1003"/>
    </row>
    <row r="162" spans="1:21" s="978" customFormat="1" x14ac:dyDescent="0.25">
      <c r="A162" s="1010" t="str">
        <f>IF(C162&gt;0,COUNT(C$132:C162),"")</f>
        <v/>
      </c>
      <c r="B162" s="1019"/>
      <c r="C162" s="947"/>
      <c r="D162" s="1002"/>
      <c r="E162" s="949"/>
      <c r="F162" s="1008"/>
      <c r="G162" s="977"/>
      <c r="S162" s="1003"/>
      <c r="T162" s="1004"/>
      <c r="U162" s="1003"/>
    </row>
    <row r="163" spans="1:21" s="978" customFormat="1" x14ac:dyDescent="0.25">
      <c r="A163" s="1010">
        <f>IF(C163&gt;0,COUNT(C$132:C163),"")</f>
        <v>3</v>
      </c>
      <c r="B163" s="1018" t="s">
        <v>1542</v>
      </c>
      <c r="C163" s="947">
        <v>1</v>
      </c>
      <c r="D163" s="1002" t="s">
        <v>981</v>
      </c>
      <c r="E163" s="949">
        <v>500000</v>
      </c>
      <c r="F163" s="1008">
        <f>E163*C163</f>
        <v>500000</v>
      </c>
      <c r="G163" s="977"/>
      <c r="S163" s="1003"/>
      <c r="T163" s="1004"/>
      <c r="U163" s="1003"/>
    </row>
    <row r="164" spans="1:21" s="978" customFormat="1" x14ac:dyDescent="0.25">
      <c r="A164" s="1010" t="str">
        <f>IF(C164&gt;0,COUNT(C$132:C164),"")</f>
        <v/>
      </c>
      <c r="B164" s="1015" t="s">
        <v>1535</v>
      </c>
      <c r="C164" s="947"/>
      <c r="D164" s="1002"/>
      <c r="E164" s="949"/>
      <c r="F164" s="1008"/>
      <c r="G164" s="977"/>
      <c r="S164" s="1003"/>
      <c r="T164" s="1004"/>
      <c r="U164" s="1003"/>
    </row>
    <row r="165" spans="1:21" s="978" customFormat="1" x14ac:dyDescent="0.25">
      <c r="A165" s="1010" t="str">
        <f>IF(C165&gt;0,COUNT(C$132:C165),"")</f>
        <v/>
      </c>
      <c r="B165" s="1015" t="s">
        <v>1543</v>
      </c>
      <c r="C165" s="947"/>
      <c r="D165" s="1002"/>
      <c r="E165" s="949"/>
      <c r="F165" s="1008"/>
      <c r="G165" s="977"/>
      <c r="S165" s="1003"/>
      <c r="T165" s="1004"/>
      <c r="U165" s="1003"/>
    </row>
    <row r="166" spans="1:21" s="978" customFormat="1" x14ac:dyDescent="0.25">
      <c r="A166" s="1010" t="str">
        <f>IF(C166&gt;0,COUNT(C$132:C166),"")</f>
        <v/>
      </c>
      <c r="B166" s="1015" t="s">
        <v>1544</v>
      </c>
      <c r="C166" s="947"/>
      <c r="D166" s="1002"/>
      <c r="E166" s="949"/>
      <c r="F166" s="1008"/>
      <c r="G166" s="977"/>
      <c r="S166" s="1003"/>
      <c r="T166" s="1004"/>
      <c r="U166" s="1003"/>
    </row>
    <row r="167" spans="1:21" s="978" customFormat="1" x14ac:dyDescent="0.25">
      <c r="A167" s="1010" t="str">
        <f>IF(C167&gt;0,COUNT(C$132:C167),"")</f>
        <v/>
      </c>
      <c r="B167" s="1015" t="s">
        <v>1545</v>
      </c>
      <c r="C167" s="947"/>
      <c r="D167" s="1002"/>
      <c r="E167" s="949"/>
      <c r="F167" s="1008"/>
      <c r="G167" s="977"/>
      <c r="S167" s="1003"/>
      <c r="T167" s="1004"/>
      <c r="U167" s="1003"/>
    </row>
    <row r="168" spans="1:21" s="978" customFormat="1" x14ac:dyDescent="0.25">
      <c r="A168" s="1010" t="str">
        <f>IF(C168&gt;0,COUNT(C$132:C168),"")</f>
        <v/>
      </c>
      <c r="B168" s="1015" t="s">
        <v>1546</v>
      </c>
      <c r="C168" s="947"/>
      <c r="D168" s="1002"/>
      <c r="E168" s="949"/>
      <c r="F168" s="1008"/>
      <c r="G168" s="977"/>
      <c r="S168" s="1003"/>
      <c r="T168" s="1004"/>
      <c r="U168" s="1003"/>
    </row>
    <row r="169" spans="1:21" s="978" customFormat="1" x14ac:dyDescent="0.25">
      <c r="A169" s="1010" t="str">
        <f>IF(C169&gt;0,COUNT(C$132:C169),"")</f>
        <v/>
      </c>
      <c r="B169" s="1015" t="s">
        <v>1540</v>
      </c>
      <c r="C169" s="947"/>
      <c r="D169" s="1002"/>
      <c r="E169" s="949"/>
      <c r="F169" s="1008"/>
      <c r="G169" s="977"/>
      <c r="S169" s="1003"/>
      <c r="T169" s="1004"/>
      <c r="U169" s="1003"/>
    </row>
    <row r="170" spans="1:21" s="978" customFormat="1" x14ac:dyDescent="0.25">
      <c r="A170" s="1010" t="str">
        <f>IF(C170&gt;0,COUNT(C$132:C170),"")</f>
        <v/>
      </c>
      <c r="B170" s="1015" t="s">
        <v>71</v>
      </c>
      <c r="C170" s="947"/>
      <c r="D170" s="1002"/>
      <c r="E170" s="949"/>
      <c r="F170" s="1008"/>
      <c r="G170" s="977"/>
      <c r="S170" s="1003"/>
      <c r="T170" s="1004"/>
      <c r="U170" s="1003"/>
    </row>
    <row r="171" spans="1:21" s="978" customFormat="1" ht="34.200000000000003" customHeight="1" x14ac:dyDescent="0.25">
      <c r="A171" s="1396" t="str">
        <f>IF(C171&gt;0,COUNT(C$132:C171),"")</f>
        <v/>
      </c>
      <c r="B171" s="1397" t="s">
        <v>1541</v>
      </c>
      <c r="C171" s="1386"/>
      <c r="D171" s="1387"/>
      <c r="E171" s="1320"/>
      <c r="F171" s="1138"/>
      <c r="G171" s="977"/>
      <c r="S171" s="1003"/>
      <c r="T171" s="1004"/>
      <c r="U171" s="1003"/>
    </row>
    <row r="172" spans="1:21" s="978" customFormat="1" x14ac:dyDescent="0.25">
      <c r="A172" s="1398">
        <f>IF(C172&gt;0,COUNT(C$132:C172),"")</f>
        <v>4</v>
      </c>
      <c r="B172" s="1399" t="s">
        <v>1547</v>
      </c>
      <c r="C172" s="1390">
        <v>1</v>
      </c>
      <c r="D172" s="1391" t="s">
        <v>981</v>
      </c>
      <c r="E172" s="1382">
        <v>500000</v>
      </c>
      <c r="F172" s="1142">
        <f>E172*C172</f>
        <v>500000</v>
      </c>
      <c r="G172" s="977"/>
      <c r="S172" s="1003"/>
      <c r="T172" s="1004"/>
      <c r="U172" s="1003"/>
    </row>
    <row r="173" spans="1:21" s="978" customFormat="1" x14ac:dyDescent="0.25">
      <c r="A173" s="1010" t="str">
        <f>IF(C173&gt;0,COUNT(C$132:C173),"")</f>
        <v/>
      </c>
      <c r="B173" s="1015" t="s">
        <v>1548</v>
      </c>
      <c r="C173" s="947"/>
      <c r="D173" s="1002"/>
      <c r="E173" s="949"/>
      <c r="F173" s="1008"/>
      <c r="G173" s="977"/>
      <c r="S173" s="1003"/>
      <c r="T173" s="1004"/>
      <c r="U173" s="1003"/>
    </row>
    <row r="174" spans="1:21" s="978" customFormat="1" x14ac:dyDescent="0.25">
      <c r="A174" s="1010" t="str">
        <f>IF(C174&gt;0,COUNT(C$132:C174),"")</f>
        <v/>
      </c>
      <c r="B174" s="1015" t="s">
        <v>1549</v>
      </c>
      <c r="C174" s="947"/>
      <c r="D174" s="1002"/>
      <c r="E174" s="949"/>
      <c r="F174" s="1008"/>
      <c r="G174" s="977"/>
      <c r="S174" s="1003"/>
      <c r="T174" s="1004"/>
      <c r="U174" s="1003"/>
    </row>
    <row r="175" spans="1:21" s="978" customFormat="1" x14ac:dyDescent="0.25">
      <c r="A175" s="1010" t="str">
        <f>IF(C175&gt;0,COUNT(C$132:C175),"")</f>
        <v/>
      </c>
      <c r="B175" s="1015" t="s">
        <v>1550</v>
      </c>
      <c r="C175" s="947"/>
      <c r="D175" s="1002"/>
      <c r="E175" s="949"/>
      <c r="F175" s="1008"/>
      <c r="G175" s="977"/>
      <c r="S175" s="1003"/>
      <c r="T175" s="1004"/>
      <c r="U175" s="1003"/>
    </row>
    <row r="176" spans="1:21" s="978" customFormat="1" x14ac:dyDescent="0.25">
      <c r="A176" s="1010" t="str">
        <f>IF(C176&gt;0,COUNT(C$132:C176),"")</f>
        <v/>
      </c>
      <c r="B176" s="1015" t="s">
        <v>1551</v>
      </c>
      <c r="C176" s="947"/>
      <c r="D176" s="1002"/>
      <c r="E176" s="949"/>
      <c r="F176" s="1008"/>
      <c r="G176" s="977"/>
      <c r="S176" s="1003"/>
      <c r="T176" s="1004"/>
      <c r="U176" s="1003"/>
    </row>
    <row r="177" spans="1:21" s="978" customFormat="1" x14ac:dyDescent="0.25">
      <c r="A177" s="1010" t="str">
        <f>IF(C177&gt;0,COUNT(C$132:C177),"")</f>
        <v/>
      </c>
      <c r="B177" s="1015" t="s">
        <v>1552</v>
      </c>
      <c r="C177" s="947"/>
      <c r="D177" s="1002"/>
      <c r="E177" s="949"/>
      <c r="F177" s="1008"/>
      <c r="G177" s="977"/>
      <c r="S177" s="1003"/>
      <c r="T177" s="1004"/>
      <c r="U177" s="1003"/>
    </row>
    <row r="178" spans="1:21" s="978" customFormat="1" ht="36.6" customHeight="1" x14ac:dyDescent="0.25">
      <c r="A178" s="1010" t="str">
        <f>IF(C178&gt;0,COUNT(C$132:C178),"")</f>
        <v/>
      </c>
      <c r="B178" s="1019" t="s">
        <v>1541</v>
      </c>
      <c r="C178" s="947"/>
      <c r="D178" s="1002"/>
      <c r="E178" s="949"/>
      <c r="F178" s="1008"/>
      <c r="G178" s="977"/>
      <c r="S178" s="1003"/>
      <c r="T178" s="1004"/>
      <c r="U178" s="1003"/>
    </row>
    <row r="179" spans="1:21" s="978" customFormat="1" x14ac:dyDescent="0.25">
      <c r="A179" s="1010" t="str">
        <f>IF(C179&gt;0,COUNT(C$132:C179),"")</f>
        <v/>
      </c>
      <c r="B179" s="1019"/>
      <c r="C179" s="947"/>
      <c r="D179" s="1002"/>
      <c r="E179" s="949"/>
      <c r="F179" s="1008"/>
      <c r="G179" s="977"/>
      <c r="S179" s="1003"/>
      <c r="T179" s="1004"/>
      <c r="U179" s="1003"/>
    </row>
    <row r="180" spans="1:21" s="978" customFormat="1" x14ac:dyDescent="0.25">
      <c r="A180" s="1010">
        <f>IF(C180&gt;0,COUNT(C$132:C180),"")</f>
        <v>5</v>
      </c>
      <c r="B180" s="1021" t="s">
        <v>1553</v>
      </c>
      <c r="C180" s="947">
        <v>1</v>
      </c>
      <c r="D180" s="1002" t="s">
        <v>981</v>
      </c>
      <c r="E180" s="949">
        <v>500000</v>
      </c>
      <c r="F180" s="1008">
        <f>E180*C180</f>
        <v>500000</v>
      </c>
      <c r="G180" s="977"/>
      <c r="S180" s="1003"/>
      <c r="T180" s="1004"/>
      <c r="U180" s="1003"/>
    </row>
    <row r="181" spans="1:21" s="978" customFormat="1" x14ac:dyDescent="0.25">
      <c r="A181" s="1010" t="str">
        <f>IF(C181&gt;0,COUNT(C$132:C181),"")</f>
        <v/>
      </c>
      <c r="B181" s="1015" t="s">
        <v>1535</v>
      </c>
      <c r="C181" s="947"/>
      <c r="D181" s="1002"/>
      <c r="E181" s="949"/>
      <c r="F181" s="1008"/>
      <c r="G181" s="977"/>
      <c r="S181" s="1003"/>
      <c r="T181" s="1004"/>
      <c r="U181" s="1003"/>
    </row>
    <row r="182" spans="1:21" s="978" customFormat="1" x14ac:dyDescent="0.25">
      <c r="A182" s="1010" t="str">
        <f>IF(C182&gt;0,COUNT(C$132:C182),"")</f>
        <v/>
      </c>
      <c r="B182" s="1015" t="s">
        <v>1543</v>
      </c>
      <c r="C182" s="947"/>
      <c r="D182" s="1002"/>
      <c r="E182" s="949"/>
      <c r="F182" s="1008"/>
      <c r="G182" s="977"/>
      <c r="S182" s="1003"/>
      <c r="T182" s="1004"/>
      <c r="U182" s="1003"/>
    </row>
    <row r="183" spans="1:21" s="978" customFormat="1" x14ac:dyDescent="0.25">
      <c r="A183" s="1010" t="str">
        <f>IF(C183&gt;0,COUNT(C$132:C183),"")</f>
        <v/>
      </c>
      <c r="B183" s="1015" t="s">
        <v>1554</v>
      </c>
      <c r="C183" s="947"/>
      <c r="D183" s="1002"/>
      <c r="E183" s="949"/>
      <c r="F183" s="1008"/>
      <c r="G183" s="977"/>
      <c r="S183" s="1003"/>
      <c r="T183" s="1004"/>
      <c r="U183" s="1003"/>
    </row>
    <row r="184" spans="1:21" s="978" customFormat="1" x14ac:dyDescent="0.25">
      <c r="A184" s="1010" t="str">
        <f>IF(C184&gt;0,COUNT(C$132:C184),"")</f>
        <v/>
      </c>
      <c r="B184" s="1015" t="s">
        <v>1555</v>
      </c>
      <c r="C184" s="947"/>
      <c r="D184" s="1002"/>
      <c r="E184" s="949"/>
      <c r="F184" s="1008"/>
      <c r="G184" s="977"/>
      <c r="S184" s="1003"/>
      <c r="T184" s="1004"/>
      <c r="U184" s="1003"/>
    </row>
    <row r="185" spans="1:21" s="978" customFormat="1" x14ac:dyDescent="0.25">
      <c r="A185" s="1010" t="str">
        <f>IF(C185&gt;0,COUNT(C$132:C185),"")</f>
        <v/>
      </c>
      <c r="B185" s="1015" t="s">
        <v>1539</v>
      </c>
      <c r="C185" s="947"/>
      <c r="D185" s="1002"/>
      <c r="E185" s="949"/>
      <c r="F185" s="1008"/>
      <c r="G185" s="977"/>
      <c r="S185" s="1003"/>
      <c r="T185" s="1004"/>
      <c r="U185" s="1003"/>
    </row>
    <row r="186" spans="1:21" s="978" customFormat="1" x14ac:dyDescent="0.25">
      <c r="A186" s="1010" t="str">
        <f>IF(C186&gt;0,COUNT(C$132:C186),"")</f>
        <v/>
      </c>
      <c r="B186" s="1015" t="s">
        <v>1540</v>
      </c>
      <c r="C186" s="947"/>
      <c r="D186" s="1002"/>
      <c r="E186" s="949"/>
      <c r="F186" s="1008"/>
      <c r="G186" s="977"/>
      <c r="S186" s="1003"/>
      <c r="T186" s="1004"/>
      <c r="U186" s="1003"/>
    </row>
    <row r="187" spans="1:21" s="978" customFormat="1" x14ac:dyDescent="0.25">
      <c r="A187" s="1010" t="str">
        <f>IF(C187&gt;0,COUNT(C$132:C187),"")</f>
        <v/>
      </c>
      <c r="B187" s="1015" t="s">
        <v>71</v>
      </c>
      <c r="C187" s="947"/>
      <c r="D187" s="1002"/>
      <c r="E187" s="949"/>
      <c r="F187" s="1008"/>
      <c r="G187" s="977"/>
      <c r="S187" s="1003"/>
      <c r="T187" s="1004"/>
      <c r="U187" s="1003"/>
    </row>
    <row r="188" spans="1:21" s="978" customFormat="1" ht="34.799999999999997" customHeight="1" x14ac:dyDescent="0.25">
      <c r="A188" s="1010" t="str">
        <f>IF(C188&gt;0,COUNT(C$132:C188),"")</f>
        <v/>
      </c>
      <c r="B188" s="1019" t="s">
        <v>1541</v>
      </c>
      <c r="C188" s="947"/>
      <c r="D188" s="1002"/>
      <c r="E188" s="949"/>
      <c r="F188" s="1008"/>
      <c r="G188" s="977"/>
      <c r="S188" s="1003"/>
      <c r="T188" s="1004"/>
      <c r="U188" s="1003"/>
    </row>
    <row r="189" spans="1:21" s="978" customFormat="1" x14ac:dyDescent="0.25">
      <c r="A189" s="1010" t="str">
        <f>IF(C189&gt;0,COUNT(C$132:C189),"")</f>
        <v/>
      </c>
      <c r="B189" s="1019"/>
      <c r="C189" s="947"/>
      <c r="D189" s="1002"/>
      <c r="E189" s="949"/>
      <c r="F189" s="1008"/>
      <c r="G189" s="977"/>
      <c r="S189" s="1003"/>
      <c r="T189" s="1004"/>
      <c r="U189" s="1003"/>
    </row>
    <row r="190" spans="1:21" s="978" customFormat="1" x14ac:dyDescent="0.25">
      <c r="A190" s="1010">
        <f>IF(C190&gt;0,COUNT(C$132:C190),"")</f>
        <v>6</v>
      </c>
      <c r="B190" s="1018" t="s">
        <v>1556</v>
      </c>
      <c r="C190" s="947">
        <v>1</v>
      </c>
      <c r="D190" s="1002" t="s">
        <v>981</v>
      </c>
      <c r="E190" s="949">
        <v>400000</v>
      </c>
      <c r="F190" s="1008">
        <f>E190*C190</f>
        <v>400000</v>
      </c>
      <c r="G190" s="977"/>
      <c r="S190" s="1003"/>
      <c r="T190" s="1004"/>
      <c r="U190" s="1003"/>
    </row>
    <row r="191" spans="1:21" s="978" customFormat="1" x14ac:dyDescent="0.25">
      <c r="A191" s="1010" t="str">
        <f>IF(C191&gt;0,COUNT(C$132:C191),"")</f>
        <v/>
      </c>
      <c r="B191" s="1015" t="s">
        <v>1523</v>
      </c>
      <c r="C191" s="947"/>
      <c r="D191" s="1002"/>
      <c r="E191" s="949"/>
      <c r="F191" s="1008"/>
      <c r="G191" s="977"/>
      <c r="S191" s="1003"/>
      <c r="T191" s="1004"/>
      <c r="U191" s="1003"/>
    </row>
    <row r="192" spans="1:21" s="978" customFormat="1" x14ac:dyDescent="0.25">
      <c r="A192" s="1010" t="str">
        <f>IF(C192&gt;0,COUNT(C$132:C192),"")</f>
        <v/>
      </c>
      <c r="B192" s="1015" t="s">
        <v>1549</v>
      </c>
      <c r="C192" s="947"/>
      <c r="D192" s="1002"/>
      <c r="E192" s="949"/>
      <c r="F192" s="1008"/>
      <c r="G192" s="977"/>
      <c r="S192" s="1003"/>
      <c r="T192" s="1004"/>
      <c r="U192" s="1003"/>
    </row>
    <row r="193" spans="1:21" s="978" customFormat="1" x14ac:dyDescent="0.25">
      <c r="A193" s="1010" t="str">
        <f>IF(C193&gt;0,COUNT(C$132:C193),"")</f>
        <v/>
      </c>
      <c r="B193" s="1015" t="s">
        <v>1557</v>
      </c>
      <c r="C193" s="947"/>
      <c r="D193" s="1002"/>
      <c r="E193" s="949"/>
      <c r="F193" s="1008"/>
      <c r="G193" s="977"/>
      <c r="S193" s="1003"/>
      <c r="T193" s="1004"/>
      <c r="U193" s="1003"/>
    </row>
    <row r="194" spans="1:21" s="978" customFormat="1" x14ac:dyDescent="0.25">
      <c r="A194" s="1010" t="str">
        <f>IF(C194&gt;0,COUNT(C$132:C194),"")</f>
        <v/>
      </c>
      <c r="B194" s="1015" t="s">
        <v>1558</v>
      </c>
      <c r="C194" s="947"/>
      <c r="D194" s="1002"/>
      <c r="E194" s="949"/>
      <c r="F194" s="1008"/>
      <c r="G194" s="977"/>
      <c r="S194" s="1003"/>
      <c r="T194" s="1004"/>
      <c r="U194" s="1003"/>
    </row>
    <row r="195" spans="1:21" s="978" customFormat="1" x14ac:dyDescent="0.25">
      <c r="A195" s="1010" t="str">
        <f>IF(C195&gt;0,COUNT(C$132:C195),"")</f>
        <v/>
      </c>
      <c r="B195" s="1015" t="s">
        <v>1559</v>
      </c>
      <c r="C195" s="947"/>
      <c r="D195" s="1002"/>
      <c r="E195" s="949"/>
      <c r="F195" s="1008"/>
      <c r="G195" s="977"/>
      <c r="S195" s="1003"/>
      <c r="T195" s="1004"/>
      <c r="U195" s="1003"/>
    </row>
    <row r="196" spans="1:21" s="978" customFormat="1" ht="32.4" customHeight="1" x14ac:dyDescent="0.25">
      <c r="A196" s="1010" t="str">
        <f>IF(C196&gt;0,COUNT(C$132:C196),"")</f>
        <v/>
      </c>
      <c r="B196" s="1019" t="s">
        <v>1541</v>
      </c>
      <c r="C196" s="947"/>
      <c r="D196" s="1002"/>
      <c r="E196" s="949"/>
      <c r="F196" s="1008"/>
      <c r="G196" s="977"/>
      <c r="S196" s="1003"/>
      <c r="T196" s="1004"/>
      <c r="U196" s="1003"/>
    </row>
    <row r="197" spans="1:21" s="978" customFormat="1" x14ac:dyDescent="0.25">
      <c r="A197" s="1010" t="str">
        <f>IF(C197&gt;0,COUNT(C$132:C197),"")</f>
        <v/>
      </c>
      <c r="B197" s="1019"/>
      <c r="C197" s="947"/>
      <c r="D197" s="1002"/>
      <c r="E197" s="949"/>
      <c r="F197" s="1008"/>
      <c r="G197" s="977"/>
      <c r="S197" s="1003"/>
      <c r="T197" s="1004"/>
      <c r="U197" s="1003"/>
    </row>
    <row r="198" spans="1:21" s="978" customFormat="1" x14ac:dyDescent="0.25">
      <c r="A198" s="1010">
        <f>IF(C198&gt;0,COUNT(C$132:C198),"")</f>
        <v>7</v>
      </c>
      <c r="B198" s="1021" t="s">
        <v>1560</v>
      </c>
      <c r="C198" s="947">
        <v>1</v>
      </c>
      <c r="D198" s="1002" t="s">
        <v>981</v>
      </c>
      <c r="E198" s="949">
        <v>400000</v>
      </c>
      <c r="F198" s="1008">
        <f>E198*C198</f>
        <v>400000</v>
      </c>
      <c r="G198" s="977"/>
      <c r="S198" s="1003"/>
      <c r="T198" s="1004"/>
      <c r="U198" s="1003"/>
    </row>
    <row r="199" spans="1:21" s="978" customFormat="1" x14ac:dyDescent="0.25">
      <c r="A199" s="1010" t="str">
        <f>IF(C199&gt;0,COUNT(C$132:C199),"")</f>
        <v/>
      </c>
      <c r="B199" s="1015" t="s">
        <v>1535</v>
      </c>
      <c r="C199" s="947"/>
      <c r="D199" s="1002"/>
      <c r="E199" s="949"/>
      <c r="F199" s="1008"/>
      <c r="G199" s="977"/>
      <c r="S199" s="1003"/>
      <c r="T199" s="1004"/>
      <c r="U199" s="1003"/>
    </row>
    <row r="200" spans="1:21" s="978" customFormat="1" x14ac:dyDescent="0.25">
      <c r="A200" s="1010" t="str">
        <f>IF(C200&gt;0,COUNT(C$132:C200),"")</f>
        <v/>
      </c>
      <c r="B200" s="1015" t="s">
        <v>1543</v>
      </c>
      <c r="C200" s="947"/>
      <c r="D200" s="1002"/>
      <c r="E200" s="949"/>
      <c r="F200" s="1008"/>
      <c r="G200" s="977"/>
      <c r="S200" s="1003"/>
      <c r="T200" s="1004"/>
      <c r="U200" s="1003"/>
    </row>
    <row r="201" spans="1:21" s="978" customFormat="1" x14ac:dyDescent="0.25">
      <c r="A201" s="1010" t="str">
        <f>IF(C201&gt;0,COUNT(C$132:C201),"")</f>
        <v/>
      </c>
      <c r="B201" s="1015" t="s">
        <v>1561</v>
      </c>
      <c r="C201" s="947"/>
      <c r="D201" s="1002"/>
      <c r="E201" s="949"/>
      <c r="F201" s="1008"/>
      <c r="G201" s="977"/>
      <c r="S201" s="1003"/>
      <c r="T201" s="1004"/>
      <c r="U201" s="1003"/>
    </row>
    <row r="202" spans="1:21" s="978" customFormat="1" x14ac:dyDescent="0.25">
      <c r="A202" s="1010" t="str">
        <f>IF(C202&gt;0,COUNT(C$132:C202),"")</f>
        <v/>
      </c>
      <c r="B202" s="1015" t="s">
        <v>1538</v>
      </c>
      <c r="C202" s="947"/>
      <c r="D202" s="1002"/>
      <c r="E202" s="949"/>
      <c r="F202" s="1008"/>
      <c r="G202" s="977"/>
      <c r="S202" s="1003"/>
      <c r="T202" s="1004"/>
      <c r="U202" s="1003"/>
    </row>
    <row r="203" spans="1:21" s="978" customFormat="1" x14ac:dyDescent="0.25">
      <c r="A203" s="1010" t="str">
        <f>IF(C203&gt;0,COUNT(C$132:C203),"")</f>
        <v/>
      </c>
      <c r="B203" s="1015" t="s">
        <v>1562</v>
      </c>
      <c r="C203" s="947"/>
      <c r="D203" s="1002"/>
      <c r="E203" s="949"/>
      <c r="F203" s="1008"/>
      <c r="G203" s="977"/>
      <c r="S203" s="1003"/>
      <c r="T203" s="1004"/>
      <c r="U203" s="1003"/>
    </row>
    <row r="204" spans="1:21" s="978" customFormat="1" x14ac:dyDescent="0.25">
      <c r="A204" s="1010" t="str">
        <f>IF(C204&gt;0,COUNT(C$132:C204),"")</f>
        <v/>
      </c>
      <c r="B204" s="1015" t="s">
        <v>1540</v>
      </c>
      <c r="C204" s="947"/>
      <c r="D204" s="1002"/>
      <c r="E204" s="949"/>
      <c r="F204" s="1008"/>
      <c r="G204" s="977"/>
      <c r="S204" s="1003"/>
      <c r="T204" s="1004"/>
      <c r="U204" s="1003"/>
    </row>
    <row r="205" spans="1:21" s="978" customFormat="1" x14ac:dyDescent="0.25">
      <c r="A205" s="1010" t="str">
        <f>IF(C205&gt;0,COUNT(C$132:C205),"")</f>
        <v/>
      </c>
      <c r="B205" s="1015" t="s">
        <v>71</v>
      </c>
      <c r="C205" s="947"/>
      <c r="D205" s="1002"/>
      <c r="E205" s="949"/>
      <c r="F205" s="1008"/>
      <c r="G205" s="977"/>
      <c r="S205" s="1003"/>
      <c r="T205" s="1004"/>
      <c r="U205" s="1003"/>
    </row>
    <row r="206" spans="1:21" s="978" customFormat="1" ht="32.4" customHeight="1" x14ac:dyDescent="0.25">
      <c r="A206" s="1010" t="str">
        <f>IF(C206&gt;0,COUNT(C$132:C206),"")</f>
        <v/>
      </c>
      <c r="B206" s="1019" t="s">
        <v>1541</v>
      </c>
      <c r="C206" s="947"/>
      <c r="D206" s="1002"/>
      <c r="E206" s="949"/>
      <c r="F206" s="1008"/>
      <c r="G206" s="977"/>
      <c r="S206" s="1003"/>
      <c r="T206" s="1004"/>
      <c r="U206" s="1003"/>
    </row>
    <row r="207" spans="1:21" s="978" customFormat="1" x14ac:dyDescent="0.25">
      <c r="A207" s="1010" t="str">
        <f>IF(C207&gt;0,COUNT(C$132:C207),"")</f>
        <v/>
      </c>
      <c r="B207" s="1019"/>
      <c r="C207" s="947"/>
      <c r="D207" s="1002"/>
      <c r="E207" s="949"/>
      <c r="F207" s="1008"/>
      <c r="G207" s="977"/>
      <c r="S207" s="1003"/>
      <c r="T207" s="1004"/>
      <c r="U207" s="1003"/>
    </row>
    <row r="208" spans="1:21" s="978" customFormat="1" x14ac:dyDescent="0.25">
      <c r="A208" s="1010">
        <f>IF(C208&gt;0,COUNT(C$132:C208),"")</f>
        <v>8</v>
      </c>
      <c r="B208" s="1018" t="s">
        <v>1563</v>
      </c>
      <c r="C208" s="947">
        <v>1</v>
      </c>
      <c r="D208" s="1002" t="s">
        <v>981</v>
      </c>
      <c r="E208" s="949">
        <v>400000</v>
      </c>
      <c r="F208" s="1008">
        <f>E208*C208</f>
        <v>400000</v>
      </c>
      <c r="G208" s="977"/>
      <c r="S208" s="1003"/>
      <c r="T208" s="1004"/>
      <c r="U208" s="1003"/>
    </row>
    <row r="209" spans="1:21" s="978" customFormat="1" x14ac:dyDescent="0.25">
      <c r="A209" s="1010" t="str">
        <f>IF(C209&gt;0,COUNT(C$132:C209),"")</f>
        <v/>
      </c>
      <c r="B209" s="1015" t="s">
        <v>1523</v>
      </c>
      <c r="C209" s="947"/>
      <c r="D209" s="1002"/>
      <c r="E209" s="949"/>
      <c r="F209" s="1008"/>
      <c r="G209" s="977"/>
      <c r="S209" s="1003"/>
      <c r="T209" s="1004"/>
      <c r="U209" s="1003"/>
    </row>
    <row r="210" spans="1:21" s="978" customFormat="1" x14ac:dyDescent="0.25">
      <c r="A210" s="1010" t="str">
        <f>IF(C210&gt;0,COUNT(C$132:C210),"")</f>
        <v/>
      </c>
      <c r="B210" s="1015" t="s">
        <v>1549</v>
      </c>
      <c r="C210" s="947"/>
      <c r="D210" s="1002"/>
      <c r="E210" s="949"/>
      <c r="F210" s="1008"/>
      <c r="G210" s="977"/>
      <c r="S210" s="1003"/>
      <c r="T210" s="1004"/>
      <c r="U210" s="1003"/>
    </row>
    <row r="211" spans="1:21" s="978" customFormat="1" x14ac:dyDescent="0.25">
      <c r="A211" s="1010" t="str">
        <f>IF(C211&gt;0,COUNT(C$132:C211),"")</f>
        <v/>
      </c>
      <c r="B211" s="1015" t="s">
        <v>1539</v>
      </c>
      <c r="C211" s="947"/>
      <c r="D211" s="1002"/>
      <c r="E211" s="949"/>
      <c r="F211" s="1008"/>
      <c r="G211" s="977"/>
      <c r="S211" s="1003"/>
      <c r="T211" s="1004"/>
      <c r="U211" s="1003"/>
    </row>
    <row r="212" spans="1:21" s="978" customFormat="1" x14ac:dyDescent="0.25">
      <c r="A212" s="1010" t="str">
        <f>IF(C212&gt;0,COUNT(C$132:C212),"")</f>
        <v/>
      </c>
      <c r="B212" s="1015" t="s">
        <v>1564</v>
      </c>
      <c r="C212" s="947"/>
      <c r="D212" s="1002"/>
      <c r="E212" s="949"/>
      <c r="F212" s="1008"/>
      <c r="G212" s="977"/>
      <c r="S212" s="1003"/>
      <c r="T212" s="1004"/>
      <c r="U212" s="1003"/>
    </row>
    <row r="213" spans="1:21" s="978" customFormat="1" x14ac:dyDescent="0.25">
      <c r="A213" s="1010" t="str">
        <f>IF(C213&gt;0,COUNT(C$132:C213),"")</f>
        <v/>
      </c>
      <c r="B213" s="1015" t="s">
        <v>1565</v>
      </c>
      <c r="C213" s="947"/>
      <c r="D213" s="1002"/>
      <c r="E213" s="949"/>
      <c r="F213" s="1008"/>
      <c r="G213" s="977"/>
      <c r="S213" s="1003"/>
      <c r="T213" s="1004"/>
      <c r="U213" s="1003"/>
    </row>
    <row r="214" spans="1:21" s="978" customFormat="1" ht="36.6" customHeight="1" x14ac:dyDescent="0.25">
      <c r="A214" s="1010" t="str">
        <f>IF(C214&gt;0,COUNT(C$132:C214),"")</f>
        <v/>
      </c>
      <c r="B214" s="1019" t="s">
        <v>1541</v>
      </c>
      <c r="C214" s="947"/>
      <c r="D214" s="1002"/>
      <c r="E214" s="949"/>
      <c r="F214" s="1008"/>
      <c r="G214" s="977"/>
      <c r="S214" s="1003"/>
      <c r="T214" s="1004"/>
      <c r="U214" s="1003"/>
    </row>
    <row r="215" spans="1:21" s="978" customFormat="1" x14ac:dyDescent="0.25">
      <c r="A215" s="1010" t="str">
        <f>IF(C215&gt;0,COUNT(C$132:C215),"")</f>
        <v/>
      </c>
      <c r="B215" s="1019"/>
      <c r="C215" s="947"/>
      <c r="D215" s="1002"/>
      <c r="E215" s="949"/>
      <c r="F215" s="1008"/>
      <c r="G215" s="977"/>
      <c r="S215" s="1003"/>
      <c r="T215" s="1004"/>
      <c r="U215" s="1003"/>
    </row>
    <row r="216" spans="1:21" s="978" customFormat="1" x14ac:dyDescent="0.25">
      <c r="A216" s="1010">
        <f>IF(C216&gt;0,COUNT(C$132:C216),"")</f>
        <v>9</v>
      </c>
      <c r="B216" s="1021" t="s">
        <v>1566</v>
      </c>
      <c r="C216" s="947">
        <v>1</v>
      </c>
      <c r="D216" s="1002" t="s">
        <v>981</v>
      </c>
      <c r="E216" s="949">
        <v>400000</v>
      </c>
      <c r="F216" s="1008">
        <f>E216*C216</f>
        <v>400000</v>
      </c>
      <c r="G216" s="977"/>
      <c r="S216" s="1003"/>
      <c r="T216" s="1004"/>
      <c r="U216" s="1003"/>
    </row>
    <row r="217" spans="1:21" s="978" customFormat="1" x14ac:dyDescent="0.25">
      <c r="A217" s="1010" t="str">
        <f>IF(C217&gt;0,COUNT(C$132:C217),"")</f>
        <v/>
      </c>
      <c r="B217" s="1015" t="s">
        <v>1523</v>
      </c>
      <c r="C217" s="947"/>
      <c r="D217" s="1002"/>
      <c r="E217" s="949"/>
      <c r="F217" s="1008"/>
      <c r="G217" s="977"/>
      <c r="S217" s="1003"/>
      <c r="T217" s="1004"/>
      <c r="U217" s="1003"/>
    </row>
    <row r="218" spans="1:21" s="978" customFormat="1" x14ac:dyDescent="0.25">
      <c r="A218" s="1010" t="str">
        <f>IF(C218&gt;0,COUNT(C$132:C218),"")</f>
        <v/>
      </c>
      <c r="B218" s="1015" t="s">
        <v>1567</v>
      </c>
      <c r="C218" s="947"/>
      <c r="D218" s="1002"/>
      <c r="E218" s="949"/>
      <c r="F218" s="1008"/>
      <c r="G218" s="977"/>
      <c r="S218" s="1003"/>
      <c r="T218" s="1004"/>
      <c r="U218" s="1003"/>
    </row>
    <row r="219" spans="1:21" s="978" customFormat="1" x14ac:dyDescent="0.25">
      <c r="A219" s="1010" t="str">
        <f>IF(C219&gt;0,COUNT(C$132:C219),"")</f>
        <v/>
      </c>
      <c r="B219" s="1015" t="s">
        <v>1568</v>
      </c>
      <c r="C219" s="947"/>
      <c r="D219" s="1002"/>
      <c r="E219" s="949"/>
      <c r="F219" s="1008"/>
      <c r="G219" s="977"/>
      <c r="S219" s="1003"/>
      <c r="T219" s="1004"/>
      <c r="U219" s="1003"/>
    </row>
    <row r="220" spans="1:21" s="978" customFormat="1" x14ac:dyDescent="0.25">
      <c r="A220" s="1010" t="str">
        <f>IF(C220&gt;0,COUNT(C$132:C220),"")</f>
        <v/>
      </c>
      <c r="B220" s="1015" t="s">
        <v>1569</v>
      </c>
      <c r="C220" s="947"/>
      <c r="D220" s="1002"/>
      <c r="E220" s="949"/>
      <c r="F220" s="1008"/>
      <c r="G220" s="977"/>
      <c r="S220" s="1003"/>
      <c r="T220" s="1004"/>
      <c r="U220" s="1003"/>
    </row>
    <row r="221" spans="1:21" s="978" customFormat="1" x14ac:dyDescent="0.25">
      <c r="A221" s="1010" t="str">
        <f>IF(C221&gt;0,COUNT(C$132:C221),"")</f>
        <v/>
      </c>
      <c r="B221" s="1015" t="s">
        <v>1570</v>
      </c>
      <c r="C221" s="947"/>
      <c r="D221" s="1002"/>
      <c r="E221" s="949"/>
      <c r="F221" s="1008"/>
      <c r="G221" s="977"/>
      <c r="S221" s="1003"/>
      <c r="T221" s="1004"/>
      <c r="U221" s="1003"/>
    </row>
    <row r="222" spans="1:21" s="978" customFormat="1" x14ac:dyDescent="0.25">
      <c r="A222" s="1010" t="str">
        <f>IF(C222&gt;0,COUNT(C$132:C222),"")</f>
        <v/>
      </c>
      <c r="B222" s="1015" t="s">
        <v>1571</v>
      </c>
      <c r="C222" s="947"/>
      <c r="D222" s="1002"/>
      <c r="E222" s="949"/>
      <c r="F222" s="1008"/>
      <c r="G222" s="977"/>
      <c r="S222" s="1003"/>
      <c r="T222" s="1004"/>
      <c r="U222" s="1003"/>
    </row>
    <row r="223" spans="1:21" s="978" customFormat="1" x14ac:dyDescent="0.25">
      <c r="A223" s="1010" t="str">
        <f>IF(C223&gt;0,COUNT(C$132:C223),"")</f>
        <v/>
      </c>
      <c r="B223" s="1015" t="s">
        <v>1552</v>
      </c>
      <c r="C223" s="947"/>
      <c r="D223" s="1002"/>
      <c r="E223" s="949"/>
      <c r="F223" s="1008"/>
      <c r="G223" s="977"/>
      <c r="S223" s="1003"/>
      <c r="T223" s="1004"/>
      <c r="U223" s="1003"/>
    </row>
    <row r="224" spans="1:21" s="978" customFormat="1" ht="33" customHeight="1" x14ac:dyDescent="0.25">
      <c r="A224" s="1010" t="str">
        <f>IF(C224&gt;0,COUNT(C$132:C224),"")</f>
        <v/>
      </c>
      <c r="B224" s="1019" t="s">
        <v>1541</v>
      </c>
      <c r="C224" s="947"/>
      <c r="D224" s="1002"/>
      <c r="E224" s="949"/>
      <c r="F224" s="1008"/>
      <c r="G224" s="977"/>
      <c r="S224" s="1003"/>
      <c r="T224" s="1004"/>
      <c r="U224" s="1003"/>
    </row>
    <row r="225" spans="1:21" s="978" customFormat="1" x14ac:dyDescent="0.25">
      <c r="A225" s="1010" t="str">
        <f>IF(C225&gt;0,COUNT(C$132:C225),"")</f>
        <v/>
      </c>
      <c r="B225" s="1019"/>
      <c r="C225" s="947"/>
      <c r="D225" s="1002"/>
      <c r="E225" s="949"/>
      <c r="F225" s="1008"/>
      <c r="G225" s="977"/>
      <c r="S225" s="1003"/>
      <c r="T225" s="1004"/>
      <c r="U225" s="1003"/>
    </row>
    <row r="226" spans="1:21" s="978" customFormat="1" x14ac:dyDescent="0.25">
      <c r="A226" s="1010">
        <f>IF(C226&gt;0,COUNT(C$132:C226),"")</f>
        <v>10</v>
      </c>
      <c r="B226" s="1021" t="s">
        <v>1572</v>
      </c>
      <c r="C226" s="947">
        <v>1</v>
      </c>
      <c r="D226" s="1002" t="s">
        <v>981</v>
      </c>
      <c r="E226" s="949">
        <v>400000</v>
      </c>
      <c r="F226" s="1008">
        <f>E226*C226</f>
        <v>400000</v>
      </c>
      <c r="G226" s="977"/>
      <c r="S226" s="1003"/>
      <c r="T226" s="1004"/>
      <c r="U226" s="1003"/>
    </row>
    <row r="227" spans="1:21" s="978" customFormat="1" x14ac:dyDescent="0.25">
      <c r="A227" s="1010" t="str">
        <f>IF(C227&gt;0,COUNT(C$132:C227),"")</f>
        <v/>
      </c>
      <c r="B227" s="1015" t="s">
        <v>1548</v>
      </c>
      <c r="C227" s="947"/>
      <c r="D227" s="1002"/>
      <c r="E227" s="949"/>
      <c r="F227" s="1008"/>
      <c r="G227" s="977"/>
      <c r="S227" s="1003"/>
      <c r="T227" s="1004"/>
      <c r="U227" s="1003"/>
    </row>
    <row r="228" spans="1:21" s="978" customFormat="1" x14ac:dyDescent="0.25">
      <c r="A228" s="1010" t="str">
        <f>IF(C228&gt;0,COUNT(C$132:C228),"")</f>
        <v/>
      </c>
      <c r="B228" s="1015" t="s">
        <v>1573</v>
      </c>
      <c r="C228" s="947"/>
      <c r="D228" s="1002"/>
      <c r="E228" s="949"/>
      <c r="F228" s="1008"/>
      <c r="G228" s="977"/>
      <c r="S228" s="1003"/>
      <c r="T228" s="1004"/>
      <c r="U228" s="1003"/>
    </row>
    <row r="229" spans="1:21" s="978" customFormat="1" x14ac:dyDescent="0.25">
      <c r="A229" s="1010" t="str">
        <f>IF(C229&gt;0,COUNT(C$132:C229),"")</f>
        <v/>
      </c>
      <c r="B229" s="1015" t="s">
        <v>1543</v>
      </c>
      <c r="C229" s="947"/>
      <c r="D229" s="1002"/>
      <c r="E229" s="949"/>
      <c r="F229" s="1008"/>
      <c r="G229" s="977"/>
      <c r="S229" s="1003"/>
      <c r="T229" s="1004"/>
      <c r="U229" s="1003"/>
    </row>
    <row r="230" spans="1:21" s="978" customFormat="1" x14ac:dyDescent="0.25">
      <c r="A230" s="1010" t="str">
        <f>IF(C230&gt;0,COUNT(C$132:C230),"")</f>
        <v/>
      </c>
      <c r="B230" s="1015" t="s">
        <v>1574</v>
      </c>
      <c r="C230" s="947"/>
      <c r="D230" s="1002"/>
      <c r="E230" s="949"/>
      <c r="F230" s="1008"/>
      <c r="G230" s="977"/>
      <c r="S230" s="1003"/>
      <c r="T230" s="1004"/>
      <c r="U230" s="1003"/>
    </row>
    <row r="231" spans="1:21" s="978" customFormat="1" x14ac:dyDescent="0.25">
      <c r="A231" s="1010" t="str">
        <f>IF(C231&gt;0,COUNT(C$132:C231),"")</f>
        <v/>
      </c>
      <c r="B231" s="1015" t="s">
        <v>1575</v>
      </c>
      <c r="C231" s="947"/>
      <c r="D231" s="1002"/>
      <c r="E231" s="949"/>
      <c r="F231" s="1008"/>
      <c r="G231" s="977"/>
      <c r="S231" s="1003"/>
      <c r="T231" s="1004"/>
      <c r="U231" s="1003"/>
    </row>
    <row r="232" spans="1:21" s="978" customFormat="1" x14ac:dyDescent="0.25">
      <c r="A232" s="1396" t="str">
        <f>IF(C232&gt;0,COUNT(C$132:C232),"")</f>
        <v/>
      </c>
      <c r="B232" s="1400" t="s">
        <v>1562</v>
      </c>
      <c r="C232" s="1386"/>
      <c r="D232" s="1387"/>
      <c r="E232" s="1320"/>
      <c r="F232" s="1138"/>
      <c r="G232" s="977"/>
      <c r="S232" s="1003"/>
      <c r="T232" s="1004"/>
      <c r="U232" s="1003"/>
    </row>
    <row r="233" spans="1:21" s="978" customFormat="1" x14ac:dyDescent="0.25">
      <c r="A233" s="1398" t="str">
        <f>IF(C233&gt;0,COUNT(C$132:C233),"")</f>
        <v/>
      </c>
      <c r="B233" s="1401" t="s">
        <v>1558</v>
      </c>
      <c r="C233" s="1390"/>
      <c r="D233" s="1391"/>
      <c r="E233" s="1382"/>
      <c r="F233" s="1142"/>
      <c r="G233" s="977"/>
      <c r="S233" s="1003"/>
      <c r="T233" s="1004"/>
      <c r="U233" s="1003"/>
    </row>
    <row r="234" spans="1:21" s="978" customFormat="1" x14ac:dyDescent="0.25">
      <c r="A234" s="1010" t="str">
        <f>IF(C234&gt;0,COUNT(C$132:C234),"")</f>
        <v/>
      </c>
      <c r="B234" s="1015" t="s">
        <v>1559</v>
      </c>
      <c r="C234" s="947"/>
      <c r="D234" s="1002"/>
      <c r="E234" s="949"/>
      <c r="F234" s="1008"/>
      <c r="G234" s="977"/>
      <c r="S234" s="1003"/>
      <c r="T234" s="1004"/>
      <c r="U234" s="1003"/>
    </row>
    <row r="235" spans="1:21" s="978" customFormat="1" x14ac:dyDescent="0.25">
      <c r="A235" s="1010" t="str">
        <f>IF(C235&gt;0,COUNT(C$132:C235),"")</f>
        <v/>
      </c>
      <c r="B235" s="1019" t="s">
        <v>1576</v>
      </c>
      <c r="C235" s="947"/>
      <c r="D235" s="1002"/>
      <c r="E235" s="949"/>
      <c r="F235" s="1008"/>
      <c r="G235" s="977"/>
      <c r="S235" s="1003"/>
      <c r="T235" s="1004"/>
      <c r="U235" s="1003"/>
    </row>
    <row r="236" spans="1:21" s="978" customFormat="1" x14ac:dyDescent="0.25">
      <c r="A236" s="1010" t="str">
        <f>IF(C236&gt;0,COUNT(C$132:C236),"")</f>
        <v/>
      </c>
      <c r="B236" s="1019"/>
      <c r="C236" s="947"/>
      <c r="D236" s="1002"/>
      <c r="E236" s="949"/>
      <c r="F236" s="1008"/>
      <c r="G236" s="977"/>
      <c r="S236" s="1003"/>
      <c r="T236" s="1004"/>
      <c r="U236" s="1003"/>
    </row>
    <row r="237" spans="1:21" s="978" customFormat="1" x14ac:dyDescent="0.25">
      <c r="A237" s="1010">
        <f>IF(C237&gt;0,COUNT(C$132:C237),"")</f>
        <v>11</v>
      </c>
      <c r="B237" s="1021" t="s">
        <v>1577</v>
      </c>
      <c r="C237" s="947">
        <v>1</v>
      </c>
      <c r="D237" s="1002" t="s">
        <v>981</v>
      </c>
      <c r="E237" s="949">
        <v>165000</v>
      </c>
      <c r="F237" s="1008">
        <f>E237*C237</f>
        <v>165000</v>
      </c>
      <c r="G237" s="977"/>
      <c r="S237" s="1003"/>
      <c r="T237" s="1004"/>
      <c r="U237" s="1003"/>
    </row>
    <row r="238" spans="1:21" s="978" customFormat="1" x14ac:dyDescent="0.25">
      <c r="A238" s="1010" t="str">
        <f>IF(C238&gt;0,COUNT(C$132:C238),"")</f>
        <v/>
      </c>
      <c r="B238" s="1015" t="s">
        <v>1578</v>
      </c>
      <c r="C238" s="947"/>
      <c r="D238" s="1002"/>
      <c r="E238" s="949"/>
      <c r="F238" s="1008"/>
      <c r="G238" s="977"/>
      <c r="S238" s="1003"/>
      <c r="T238" s="1004"/>
      <c r="U238" s="1003"/>
    </row>
    <row r="239" spans="1:21" s="978" customFormat="1" x14ac:dyDescent="0.25">
      <c r="A239" s="1010" t="str">
        <f>IF(C239&gt;0,COUNT(C$132:C239),"")</f>
        <v/>
      </c>
      <c r="B239" s="1015" t="s">
        <v>1579</v>
      </c>
      <c r="C239" s="947"/>
      <c r="D239" s="1002"/>
      <c r="E239" s="949"/>
      <c r="F239" s="1008"/>
      <c r="G239" s="977"/>
      <c r="S239" s="1003"/>
      <c r="T239" s="1004"/>
      <c r="U239" s="1003"/>
    </row>
    <row r="240" spans="1:21" s="978" customFormat="1" x14ac:dyDescent="0.25">
      <c r="A240" s="1010" t="str">
        <f>IF(C240&gt;0,COUNT(C$132:C240),"")</f>
        <v/>
      </c>
      <c r="B240" s="1015" t="s">
        <v>71</v>
      </c>
      <c r="C240" s="947"/>
      <c r="D240" s="1002"/>
      <c r="E240" s="949"/>
      <c r="F240" s="1008"/>
      <c r="G240" s="977"/>
      <c r="S240" s="1003"/>
      <c r="T240" s="1004"/>
      <c r="U240" s="1003"/>
    </row>
    <row r="241" spans="1:21" s="978" customFormat="1" x14ac:dyDescent="0.25">
      <c r="A241" s="1010" t="str">
        <f>IF(C241&gt;0,COUNT(C$132:C241),"")</f>
        <v/>
      </c>
      <c r="B241" s="1019" t="s">
        <v>1576</v>
      </c>
      <c r="C241" s="947"/>
      <c r="D241" s="1002"/>
      <c r="E241" s="949"/>
      <c r="F241" s="1008"/>
      <c r="G241" s="977"/>
      <c r="S241" s="1003"/>
      <c r="T241" s="1004"/>
      <c r="U241" s="1003"/>
    </row>
    <row r="242" spans="1:21" s="978" customFormat="1" x14ac:dyDescent="0.25">
      <c r="A242" s="1010" t="str">
        <f>IF(C242&gt;0,COUNT(C$132:C242),"")</f>
        <v/>
      </c>
      <c r="B242" s="1019"/>
      <c r="C242" s="947"/>
      <c r="D242" s="1002"/>
      <c r="E242" s="949"/>
      <c r="F242" s="1008"/>
      <c r="G242" s="977"/>
      <c r="S242" s="1003"/>
      <c r="T242" s="1004"/>
      <c r="U242" s="1003"/>
    </row>
    <row r="243" spans="1:21" s="978" customFormat="1" x14ac:dyDescent="0.25">
      <c r="A243" s="1010">
        <f>IF(C243&gt;0,COUNT(C$132:C243),"")</f>
        <v>12</v>
      </c>
      <c r="B243" s="1021" t="s">
        <v>1580</v>
      </c>
      <c r="C243" s="947">
        <v>1</v>
      </c>
      <c r="D243" s="1002" t="s">
        <v>981</v>
      </c>
      <c r="E243" s="949">
        <v>170000</v>
      </c>
      <c r="F243" s="1008">
        <f>E243*C243</f>
        <v>170000</v>
      </c>
      <c r="G243" s="977"/>
      <c r="S243" s="1003"/>
      <c r="T243" s="1004"/>
      <c r="U243" s="1003"/>
    </row>
    <row r="244" spans="1:21" s="978" customFormat="1" x14ac:dyDescent="0.25">
      <c r="A244" s="1010" t="str">
        <f>IF(C244&gt;0,COUNT(C$132:C244),"")</f>
        <v/>
      </c>
      <c r="B244" s="1015" t="s">
        <v>1578</v>
      </c>
      <c r="C244" s="947"/>
      <c r="D244" s="1002"/>
      <c r="E244" s="949"/>
      <c r="F244" s="1008"/>
      <c r="G244" s="977"/>
      <c r="S244" s="1003"/>
      <c r="T244" s="1004"/>
      <c r="U244" s="1003"/>
    </row>
    <row r="245" spans="1:21" s="978" customFormat="1" x14ac:dyDescent="0.25">
      <c r="A245" s="1010" t="str">
        <f>IF(C245&gt;0,COUNT(C$132:C245),"")</f>
        <v/>
      </c>
      <c r="B245" s="1015" t="s">
        <v>1548</v>
      </c>
      <c r="C245" s="947"/>
      <c r="D245" s="1002"/>
      <c r="E245" s="949"/>
      <c r="F245" s="1008"/>
      <c r="G245" s="977"/>
      <c r="S245" s="1003"/>
      <c r="T245" s="1004"/>
      <c r="U245" s="1003"/>
    </row>
    <row r="246" spans="1:21" s="978" customFormat="1" x14ac:dyDescent="0.25">
      <c r="A246" s="1010" t="str">
        <f>IF(C246&gt;0,COUNT(C$132:C246),"")</f>
        <v/>
      </c>
      <c r="B246" s="1015" t="s">
        <v>1581</v>
      </c>
      <c r="C246" s="947"/>
      <c r="D246" s="1002"/>
      <c r="E246" s="949"/>
      <c r="F246" s="1008"/>
      <c r="G246" s="977"/>
      <c r="S246" s="1003"/>
      <c r="T246" s="1004"/>
      <c r="U246" s="1003"/>
    </row>
    <row r="247" spans="1:21" s="978" customFormat="1" x14ac:dyDescent="0.25">
      <c r="A247" s="1010" t="str">
        <f>IF(C247&gt;0,COUNT(C$132:C247),"")</f>
        <v/>
      </c>
      <c r="B247" s="1015" t="s">
        <v>1535</v>
      </c>
      <c r="C247" s="947"/>
      <c r="D247" s="1002"/>
      <c r="E247" s="949"/>
      <c r="F247" s="1008"/>
      <c r="G247" s="977"/>
      <c r="S247" s="1003"/>
      <c r="T247" s="1004"/>
      <c r="U247" s="1003"/>
    </row>
    <row r="248" spans="1:21" s="978" customFormat="1" x14ac:dyDescent="0.25">
      <c r="A248" s="1010" t="str">
        <f>IF(C248&gt;0,COUNT(C$132:C248),"")</f>
        <v/>
      </c>
      <c r="B248" s="1015" t="s">
        <v>1579</v>
      </c>
      <c r="C248" s="947"/>
      <c r="D248" s="1002"/>
      <c r="E248" s="949"/>
      <c r="F248" s="1008"/>
      <c r="G248" s="977"/>
      <c r="S248" s="1003"/>
      <c r="T248" s="1004"/>
      <c r="U248" s="1003"/>
    </row>
    <row r="249" spans="1:21" s="978" customFormat="1" x14ac:dyDescent="0.25">
      <c r="A249" s="1010" t="str">
        <f>IF(C249&gt;0,COUNT(C$132:C249),"")</f>
        <v/>
      </c>
      <c r="B249" s="1015" t="s">
        <v>71</v>
      </c>
      <c r="C249" s="947"/>
      <c r="D249" s="1002"/>
      <c r="E249" s="949"/>
      <c r="F249" s="1008"/>
      <c r="G249" s="977"/>
      <c r="S249" s="1003"/>
      <c r="T249" s="1004"/>
      <c r="U249" s="1003"/>
    </row>
    <row r="250" spans="1:21" s="978" customFormat="1" x14ac:dyDescent="0.25">
      <c r="A250" s="1010" t="str">
        <f>IF(C250&gt;0,COUNT(C$132:C250),"")</f>
        <v/>
      </c>
      <c r="B250" s="1019" t="s">
        <v>1576</v>
      </c>
      <c r="C250" s="947"/>
      <c r="D250" s="1002"/>
      <c r="E250" s="949"/>
      <c r="F250" s="1008"/>
      <c r="G250" s="977"/>
      <c r="S250" s="1003"/>
      <c r="T250" s="1004"/>
      <c r="U250" s="1003"/>
    </row>
    <row r="251" spans="1:21" s="978" customFormat="1" x14ac:dyDescent="0.25">
      <c r="A251" s="1010" t="str">
        <f>IF(C251&gt;0,COUNT(C$132:C251),"")</f>
        <v/>
      </c>
      <c r="B251" s="1019"/>
      <c r="C251" s="947"/>
      <c r="D251" s="1002"/>
      <c r="E251" s="949"/>
      <c r="F251" s="1008"/>
      <c r="G251" s="977"/>
      <c r="S251" s="1003"/>
      <c r="T251" s="1004"/>
      <c r="U251" s="1003"/>
    </row>
    <row r="252" spans="1:21" s="978" customFormat="1" x14ac:dyDescent="0.25">
      <c r="A252" s="1010">
        <f>IF(C252&gt;0,COUNT(C$132:C252),"")</f>
        <v>13</v>
      </c>
      <c r="B252" s="1021" t="s">
        <v>1582</v>
      </c>
      <c r="C252" s="947">
        <v>1</v>
      </c>
      <c r="D252" s="1002" t="s">
        <v>981</v>
      </c>
      <c r="E252" s="949">
        <v>175000</v>
      </c>
      <c r="F252" s="1008">
        <f>E252*C252</f>
        <v>175000</v>
      </c>
      <c r="G252" s="977"/>
      <c r="S252" s="1003"/>
      <c r="T252" s="1004"/>
      <c r="U252" s="1003"/>
    </row>
    <row r="253" spans="1:21" s="978" customFormat="1" x14ac:dyDescent="0.25">
      <c r="A253" s="1010" t="str">
        <f>IF(C253&gt;0,COUNT(C$132:C253),"")</f>
        <v/>
      </c>
      <c r="B253" s="1015" t="s">
        <v>1535</v>
      </c>
      <c r="C253" s="947"/>
      <c r="D253" s="1002"/>
      <c r="E253" s="949"/>
      <c r="F253" s="1008"/>
      <c r="G253" s="977"/>
      <c r="S253" s="1003"/>
      <c r="T253" s="1004"/>
      <c r="U253" s="1003"/>
    </row>
    <row r="254" spans="1:21" s="978" customFormat="1" x14ac:dyDescent="0.25">
      <c r="A254" s="1010" t="str">
        <f>IF(C254&gt;0,COUNT(C$132:C254),"")</f>
        <v/>
      </c>
      <c r="B254" s="1015" t="s">
        <v>1583</v>
      </c>
      <c r="C254" s="947"/>
      <c r="D254" s="1002"/>
      <c r="E254" s="949"/>
      <c r="F254" s="1008"/>
      <c r="G254" s="977"/>
      <c r="S254" s="1003"/>
      <c r="T254" s="1004"/>
      <c r="U254" s="1003"/>
    </row>
    <row r="255" spans="1:21" s="978" customFormat="1" x14ac:dyDescent="0.25">
      <c r="A255" s="1010" t="str">
        <f>IF(C255&gt;0,COUNT(C$132:C255),"")</f>
        <v/>
      </c>
      <c r="B255" s="1015" t="s">
        <v>1549</v>
      </c>
      <c r="C255" s="947"/>
      <c r="D255" s="1002"/>
      <c r="E255" s="949"/>
      <c r="F255" s="1008"/>
      <c r="G255" s="977"/>
      <c r="S255" s="1003"/>
      <c r="T255" s="1004"/>
      <c r="U255" s="1003"/>
    </row>
    <row r="256" spans="1:21" s="978" customFormat="1" x14ac:dyDescent="0.25">
      <c r="A256" s="1010" t="str">
        <f>IF(C256&gt;0,COUNT(C$132:C256),"")</f>
        <v/>
      </c>
      <c r="B256" s="1015" t="s">
        <v>1584</v>
      </c>
      <c r="C256" s="947"/>
      <c r="D256" s="1002"/>
      <c r="E256" s="949"/>
      <c r="F256" s="1008"/>
      <c r="G256" s="977"/>
      <c r="S256" s="1003"/>
      <c r="T256" s="1004"/>
      <c r="U256" s="1003"/>
    </row>
    <row r="257" spans="1:23" s="978" customFormat="1" x14ac:dyDescent="0.25">
      <c r="A257" s="1010" t="str">
        <f>IF(C257&gt;0,COUNT(C$132:C257),"")</f>
        <v/>
      </c>
      <c r="B257" s="1015" t="s">
        <v>1579</v>
      </c>
      <c r="C257" s="947"/>
      <c r="D257" s="1002"/>
      <c r="E257" s="949"/>
      <c r="F257" s="1008"/>
      <c r="G257" s="977"/>
      <c r="S257" s="1003"/>
      <c r="T257" s="1004"/>
      <c r="U257" s="1003"/>
    </row>
    <row r="258" spans="1:23" s="978" customFormat="1" x14ac:dyDescent="0.25">
      <c r="A258" s="1010" t="str">
        <f>IF(C258&gt;0,COUNT(C$132:C258),"")</f>
        <v/>
      </c>
      <c r="B258" s="1015" t="s">
        <v>71</v>
      </c>
      <c r="C258" s="947"/>
      <c r="D258" s="1002"/>
      <c r="E258" s="949"/>
      <c r="F258" s="1008"/>
      <c r="G258" s="977"/>
      <c r="S258" s="1003"/>
      <c r="T258" s="1004"/>
      <c r="U258" s="1003"/>
    </row>
    <row r="259" spans="1:23" s="978" customFormat="1" x14ac:dyDescent="0.25">
      <c r="A259" s="1010" t="str">
        <f>IF(C259&gt;0,COUNT(C$132:C259),"")</f>
        <v/>
      </c>
      <c r="B259" s="1019" t="s">
        <v>1585</v>
      </c>
      <c r="C259" s="947"/>
      <c r="D259" s="1002"/>
      <c r="E259" s="949"/>
      <c r="F259" s="1008"/>
      <c r="G259" s="977"/>
      <c r="S259" s="1003"/>
      <c r="T259" s="1004"/>
      <c r="U259" s="1003"/>
    </row>
    <row r="260" spans="1:23" s="978" customFormat="1" x14ac:dyDescent="0.25">
      <c r="A260" s="1010" t="str">
        <f>IF(C260&gt;0,COUNT(C$132:C260),"")</f>
        <v/>
      </c>
      <c r="B260" s="1019"/>
      <c r="C260" s="947"/>
      <c r="D260" s="1002"/>
      <c r="E260" s="949"/>
      <c r="F260" s="1008"/>
      <c r="G260" s="977"/>
      <c r="S260" s="1003"/>
      <c r="T260" s="1004"/>
      <c r="U260" s="1003"/>
    </row>
    <row r="261" spans="1:23" s="978" customFormat="1" x14ac:dyDescent="0.25">
      <c r="A261" s="1010">
        <f>IF(C261&gt;0,COUNT(C$132:C261),"")</f>
        <v>14</v>
      </c>
      <c r="B261" s="1021" t="s">
        <v>1586</v>
      </c>
      <c r="C261" s="947">
        <v>1</v>
      </c>
      <c r="D261" s="1002" t="s">
        <v>981</v>
      </c>
      <c r="E261" s="949">
        <v>185000</v>
      </c>
      <c r="F261" s="1008">
        <f>E261*C261</f>
        <v>185000</v>
      </c>
      <c r="G261" s="977"/>
      <c r="S261" s="1003"/>
      <c r="T261" s="1004"/>
      <c r="U261" s="1003"/>
    </row>
    <row r="262" spans="1:23" s="978" customFormat="1" x14ac:dyDescent="0.25">
      <c r="A262" s="1010" t="str">
        <f>IF(C262&gt;0,COUNT(C$132:C262),"")</f>
        <v/>
      </c>
      <c r="B262" s="1015" t="s">
        <v>1587</v>
      </c>
      <c r="C262" s="947"/>
      <c r="D262" s="1002"/>
      <c r="E262" s="949"/>
      <c r="F262" s="1008"/>
      <c r="G262" s="977"/>
      <c r="S262" s="1003"/>
      <c r="T262" s="1004"/>
      <c r="U262" s="1003"/>
    </row>
    <row r="263" spans="1:23" s="978" customFormat="1" x14ac:dyDescent="0.25">
      <c r="A263" s="1010" t="str">
        <f>IF(C263&gt;0,COUNT(C$132:C263),"")</f>
        <v/>
      </c>
      <c r="B263" s="1015" t="s">
        <v>1588</v>
      </c>
      <c r="C263" s="947"/>
      <c r="D263" s="1002"/>
      <c r="E263" s="949"/>
      <c r="F263" s="1008"/>
      <c r="G263" s="977"/>
      <c r="S263" s="1003"/>
      <c r="T263" s="1004"/>
      <c r="U263" s="1003"/>
    </row>
    <row r="264" spans="1:23" s="978" customFormat="1" x14ac:dyDescent="0.25">
      <c r="A264" s="1010" t="str">
        <f>IF(C264&gt;0,COUNT(C$132:C264),"")</f>
        <v/>
      </c>
      <c r="B264" s="1015" t="s">
        <v>1589</v>
      </c>
      <c r="C264" s="947"/>
      <c r="D264" s="1002"/>
      <c r="E264" s="949"/>
      <c r="F264" s="1008"/>
      <c r="G264" s="977"/>
      <c r="S264" s="1003"/>
      <c r="T264" s="1004"/>
      <c r="U264" s="1003"/>
    </row>
    <row r="265" spans="1:23" s="978" customFormat="1" x14ac:dyDescent="0.25">
      <c r="A265" s="1010" t="str">
        <f>IF(C265&gt;0,COUNT(C$132:C265),"")</f>
        <v/>
      </c>
      <c r="B265" s="1015" t="s">
        <v>1579</v>
      </c>
      <c r="C265" s="947"/>
      <c r="D265" s="1002"/>
      <c r="E265" s="949"/>
      <c r="F265" s="1008"/>
      <c r="G265" s="977"/>
      <c r="S265" s="1003"/>
      <c r="T265" s="1004"/>
      <c r="U265" s="1003"/>
    </row>
    <row r="266" spans="1:23" s="978" customFormat="1" x14ac:dyDescent="0.25">
      <c r="A266" s="1010" t="str">
        <f>IF(C266&gt;0,COUNT(C$132:C266),"")</f>
        <v/>
      </c>
      <c r="B266" s="1015" t="s">
        <v>71</v>
      </c>
      <c r="C266" s="947"/>
      <c r="D266" s="1002"/>
      <c r="E266" s="949"/>
      <c r="F266" s="1008"/>
      <c r="G266" s="977"/>
      <c r="S266" s="1003"/>
      <c r="T266" s="1004"/>
      <c r="U266" s="1003"/>
    </row>
    <row r="267" spans="1:23" s="978" customFormat="1" ht="31.8" customHeight="1" x14ac:dyDescent="0.25">
      <c r="A267" s="1010" t="str">
        <f>IF(C267&gt;0,COUNT(C$132:C267),"")</f>
        <v/>
      </c>
      <c r="B267" s="1017" t="s">
        <v>1590</v>
      </c>
      <c r="C267" s="947"/>
      <c r="D267" s="1002"/>
      <c r="E267" s="949"/>
      <c r="F267" s="1008"/>
      <c r="G267" s="977"/>
      <c r="S267" s="1003"/>
      <c r="T267" s="1004"/>
      <c r="U267" s="1003"/>
    </row>
    <row r="268" spans="1:23" s="978" customFormat="1" ht="31.2" customHeight="1" x14ac:dyDescent="0.25">
      <c r="A268" s="1010" t="str">
        <f>IF(C268&gt;0,COUNT(C$132:C268),"")</f>
        <v/>
      </c>
      <c r="B268" s="1019" t="s">
        <v>1541</v>
      </c>
      <c r="C268" s="947"/>
      <c r="D268" s="1002"/>
      <c r="E268" s="949"/>
      <c r="F268" s="1008"/>
      <c r="G268" s="977"/>
      <c r="S268" s="1003"/>
      <c r="T268" s="1004"/>
      <c r="U268" s="1003"/>
    </row>
    <row r="269" spans="1:23" s="978" customFormat="1" x14ac:dyDescent="0.25">
      <c r="A269" s="1010" t="str">
        <f>IF(C269&gt;0,COUNT(C$132:C269),"")</f>
        <v/>
      </c>
      <c r="B269" s="1020"/>
      <c r="C269" s="947"/>
      <c r="D269" s="1022"/>
      <c r="E269" s="1023"/>
      <c r="F269" s="1008"/>
      <c r="G269" s="1024"/>
      <c r="H269" s="1003"/>
      <c r="I269" s="1003"/>
      <c r="U269" s="1003"/>
      <c r="V269" s="1004"/>
      <c r="W269" s="1003"/>
    </row>
    <row r="270" spans="1:23" s="978" customFormat="1" x14ac:dyDescent="0.25">
      <c r="A270" s="1010">
        <f>IF(C270&gt;0,COUNT(C$132:C270),"")</f>
        <v>15</v>
      </c>
      <c r="B270" s="1018" t="s">
        <v>1591</v>
      </c>
      <c r="C270" s="947">
        <v>1</v>
      </c>
      <c r="D270" s="1022" t="s">
        <v>981</v>
      </c>
      <c r="E270" s="1023">
        <v>220000</v>
      </c>
      <c r="F270" s="950">
        <f>E270*C270</f>
        <v>220000</v>
      </c>
      <c r="G270" s="1024"/>
      <c r="H270" s="1003"/>
      <c r="I270" s="1003"/>
      <c r="U270" s="1003"/>
      <c r="V270" s="1004"/>
      <c r="W270" s="1003"/>
    </row>
    <row r="271" spans="1:23" s="978" customFormat="1" x14ac:dyDescent="0.25">
      <c r="A271" s="1010" t="str">
        <f>IF(C271&gt;0,COUNT(C$132:C271),"")</f>
        <v/>
      </c>
      <c r="B271" s="946" t="s">
        <v>1518</v>
      </c>
      <c r="C271" s="947"/>
      <c r="D271" s="1022"/>
      <c r="E271" s="1023"/>
      <c r="F271" s="1025"/>
      <c r="G271" s="1024"/>
      <c r="H271" s="1003"/>
      <c r="I271" s="1003"/>
      <c r="U271" s="1003"/>
      <c r="V271" s="1004"/>
      <c r="W271" s="1003"/>
    </row>
    <row r="272" spans="1:23" s="978" customFormat="1" x14ac:dyDescent="0.25">
      <c r="A272" s="1010" t="str">
        <f>IF(C272&gt;0,COUNT(C$132:C272),"")</f>
        <v/>
      </c>
      <c r="B272" s="946" t="s">
        <v>1592</v>
      </c>
      <c r="C272" s="947"/>
      <c r="D272" s="1022"/>
      <c r="E272" s="1023"/>
      <c r="F272" s="1025"/>
      <c r="G272" s="1024"/>
      <c r="H272" s="1003"/>
      <c r="I272" s="1003"/>
      <c r="U272" s="1003"/>
      <c r="V272" s="1004"/>
      <c r="W272" s="1003"/>
    </row>
    <row r="273" spans="1:23" s="978" customFormat="1" x14ac:dyDescent="0.25">
      <c r="A273" s="1010" t="str">
        <f>IF(C273&gt;0,COUNT(C$132:C273),"")</f>
        <v/>
      </c>
      <c r="B273" s="946" t="s">
        <v>1523</v>
      </c>
      <c r="C273" s="947"/>
      <c r="D273" s="1022"/>
      <c r="E273" s="1023"/>
      <c r="F273" s="1025"/>
      <c r="G273" s="1024"/>
      <c r="H273" s="1003"/>
      <c r="I273" s="1003"/>
      <c r="U273" s="1003"/>
      <c r="V273" s="1004"/>
      <c r="W273" s="1003"/>
    </row>
    <row r="274" spans="1:23" s="978" customFormat="1" x14ac:dyDescent="0.25">
      <c r="A274" s="1010" t="str">
        <f>IF(C274&gt;0,COUNT(C$132:C274),"")</f>
        <v/>
      </c>
      <c r="B274" s="946" t="s">
        <v>1549</v>
      </c>
      <c r="C274" s="947"/>
      <c r="D274" s="1022"/>
      <c r="E274" s="1023"/>
      <c r="F274" s="1025"/>
      <c r="G274" s="1024"/>
      <c r="H274" s="1003"/>
      <c r="I274" s="1003"/>
      <c r="U274" s="1003"/>
      <c r="V274" s="1004"/>
      <c r="W274" s="1003"/>
    </row>
    <row r="275" spans="1:23" s="978" customFormat="1" x14ac:dyDescent="0.25">
      <c r="A275" s="1010" t="str">
        <f>IF(C275&gt;0,COUNT(C$132:C275),"")</f>
        <v/>
      </c>
      <c r="B275" s="946" t="s">
        <v>1593</v>
      </c>
      <c r="C275" s="947"/>
      <c r="D275" s="1022"/>
      <c r="E275" s="1023"/>
      <c r="F275" s="1025"/>
      <c r="G275" s="1024"/>
      <c r="H275" s="1003"/>
      <c r="I275" s="1003"/>
      <c r="U275" s="1003"/>
      <c r="V275" s="1004"/>
      <c r="W275" s="1003"/>
    </row>
    <row r="276" spans="1:23" s="978" customFormat="1" x14ac:dyDescent="0.25">
      <c r="A276" s="1010" t="str">
        <f>IF(C276&gt;0,COUNT(C$132:C276),"")</f>
        <v/>
      </c>
      <c r="B276" s="946" t="s">
        <v>1594</v>
      </c>
      <c r="C276" s="947"/>
      <c r="D276" s="1022"/>
      <c r="E276" s="1023"/>
      <c r="F276" s="1025"/>
      <c r="G276" s="1024"/>
      <c r="H276" s="1003"/>
      <c r="I276" s="1003"/>
      <c r="U276" s="1003"/>
      <c r="V276" s="1004"/>
      <c r="W276" s="1003"/>
    </row>
    <row r="277" spans="1:23" s="978" customFormat="1" x14ac:dyDescent="0.25">
      <c r="A277" s="1010" t="str">
        <f>IF(C277&gt;0,COUNT(C$132:C277),"")</f>
        <v/>
      </c>
      <c r="B277" s="1026" t="s">
        <v>1595</v>
      </c>
      <c r="C277" s="947"/>
      <c r="D277" s="1022"/>
      <c r="E277" s="1023"/>
      <c r="F277" s="1025"/>
      <c r="G277" s="1024"/>
      <c r="H277" s="1003"/>
      <c r="I277" s="1003"/>
      <c r="U277" s="1003"/>
      <c r="V277" s="1004"/>
      <c r="W277" s="1003"/>
    </row>
    <row r="278" spans="1:23" s="978" customFormat="1" x14ac:dyDescent="0.25">
      <c r="A278" s="1010" t="str">
        <f>IF(C278&gt;0,COUNT(C$132:C278),"")</f>
        <v/>
      </c>
      <c r="B278" s="946" t="s">
        <v>1596</v>
      </c>
      <c r="C278" s="947"/>
      <c r="D278" s="1022"/>
      <c r="E278" s="1023"/>
      <c r="F278" s="1025"/>
      <c r="G278" s="1024"/>
      <c r="H278" s="1003"/>
      <c r="I278" s="1003"/>
      <c r="U278" s="1003"/>
      <c r="V278" s="1004"/>
      <c r="W278" s="1003"/>
    </row>
    <row r="279" spans="1:23" s="978" customFormat="1" x14ac:dyDescent="0.25">
      <c r="A279" s="1010" t="str">
        <f>IF(C279&gt;0,COUNT(C$132:C279),"")</f>
        <v/>
      </c>
      <c r="B279" s="1015" t="s">
        <v>1597</v>
      </c>
      <c r="C279" s="947"/>
      <c r="D279" s="1022"/>
      <c r="E279" s="1023"/>
      <c r="F279" s="950"/>
      <c r="G279" s="1027"/>
      <c r="U279" s="1003"/>
      <c r="V279" s="1004"/>
      <c r="W279" s="1003"/>
    </row>
    <row r="280" spans="1:23" s="978" customFormat="1" ht="30.6" customHeight="1" x14ac:dyDescent="0.25">
      <c r="A280" s="1010" t="str">
        <f>IF(C280&gt;0,COUNT(C$132:C280),"")</f>
        <v/>
      </c>
      <c r="B280" s="946" t="s">
        <v>1598</v>
      </c>
      <c r="C280" s="947"/>
      <c r="D280" s="1022"/>
      <c r="E280" s="1023"/>
      <c r="F280" s="1008"/>
      <c r="G280" s="1024"/>
      <c r="H280" s="1003"/>
      <c r="I280" s="1003"/>
      <c r="U280" s="1003"/>
      <c r="V280" s="1004"/>
      <c r="W280" s="1003"/>
    </row>
    <row r="281" spans="1:23" s="978" customFormat="1" x14ac:dyDescent="0.25">
      <c r="A281" s="1010" t="str">
        <f>IF(C281&gt;0,COUNT(C$132:C281),"")</f>
        <v/>
      </c>
      <c r="B281" s="1019"/>
      <c r="C281" s="947"/>
      <c r="D281" s="1002"/>
      <c r="E281" s="949"/>
      <c r="F281" s="1008"/>
      <c r="G281" s="977"/>
      <c r="S281" s="1003"/>
      <c r="T281" s="1004"/>
      <c r="U281" s="1003"/>
    </row>
    <row r="282" spans="1:23" s="978" customFormat="1" ht="46.8" customHeight="1" x14ac:dyDescent="0.25">
      <c r="A282" s="1010">
        <f>IF(C282&gt;0,COUNT(C$132:C282),"")</f>
        <v>16</v>
      </c>
      <c r="B282" s="1028" t="s">
        <v>1599</v>
      </c>
      <c r="C282" s="947">
        <v>1</v>
      </c>
      <c r="D282" s="1002" t="s">
        <v>981</v>
      </c>
      <c r="E282" s="949">
        <v>62500</v>
      </c>
      <c r="F282" s="950">
        <f>E282*C282</f>
        <v>62500</v>
      </c>
      <c r="G282" s="977"/>
      <c r="S282" s="1003"/>
      <c r="T282" s="1004"/>
      <c r="U282" s="1003"/>
    </row>
    <row r="283" spans="1:23" s="978" customFormat="1" x14ac:dyDescent="0.25">
      <c r="A283" s="1010" t="str">
        <f>IF(C283&gt;0,COUNT(C$132:C283),"")</f>
        <v/>
      </c>
      <c r="B283" s="1018"/>
      <c r="C283" s="947"/>
      <c r="D283" s="1022"/>
      <c r="E283" s="1023"/>
      <c r="F283" s="950"/>
      <c r="G283" s="1024"/>
      <c r="H283" s="1003"/>
      <c r="I283" s="1003"/>
      <c r="U283" s="1003"/>
      <c r="V283" s="1004"/>
      <c r="W283" s="1003"/>
    </row>
    <row r="284" spans="1:23" s="978" customFormat="1" ht="44.4" customHeight="1" x14ac:dyDescent="0.25">
      <c r="A284" s="1010">
        <f>IF(C284&gt;0,COUNT(C$132:C284),"")</f>
        <v>17</v>
      </c>
      <c r="B284" s="1028" t="s">
        <v>1600</v>
      </c>
      <c r="C284" s="947">
        <v>1</v>
      </c>
      <c r="D284" s="1002" t="s">
        <v>981</v>
      </c>
      <c r="E284" s="949">
        <f>E282</f>
        <v>62500</v>
      </c>
      <c r="F284" s="950">
        <f>E284*C284</f>
        <v>62500</v>
      </c>
      <c r="G284" s="977"/>
      <c r="S284" s="1003"/>
      <c r="T284" s="1004"/>
      <c r="U284" s="1003"/>
    </row>
    <row r="285" spans="1:23" s="978" customFormat="1" x14ac:dyDescent="0.25">
      <c r="A285" s="1010" t="str">
        <f>IF(C285&gt;0,COUNT(C$132:C285),"")</f>
        <v/>
      </c>
      <c r="B285" s="1028"/>
      <c r="C285" s="947"/>
      <c r="D285" s="1002"/>
      <c r="E285" s="949"/>
      <c r="F285" s="950"/>
      <c r="G285" s="977"/>
      <c r="S285" s="1003"/>
      <c r="T285" s="1004"/>
      <c r="U285" s="1003"/>
    </row>
    <row r="286" spans="1:23" s="978" customFormat="1" ht="36" customHeight="1" x14ac:dyDescent="0.25">
      <c r="A286" s="1010">
        <f>IF(C286&gt;0,COUNT(C$132:C286),"")</f>
        <v>18</v>
      </c>
      <c r="B286" s="1028" t="s">
        <v>1601</v>
      </c>
      <c r="C286" s="947">
        <v>1</v>
      </c>
      <c r="D286" s="1002" t="s">
        <v>981</v>
      </c>
      <c r="E286" s="949">
        <v>45000</v>
      </c>
      <c r="F286" s="950">
        <f>E286*C286</f>
        <v>45000</v>
      </c>
      <c r="G286" s="977"/>
      <c r="S286" s="1003"/>
      <c r="T286" s="1004"/>
      <c r="U286" s="1003"/>
    </row>
    <row r="287" spans="1:23" s="978" customFormat="1" x14ac:dyDescent="0.25">
      <c r="A287" s="1010" t="str">
        <f>IF(C287&gt;0,COUNT(C$132:C287),"")</f>
        <v/>
      </c>
      <c r="B287" s="1019"/>
      <c r="C287" s="947"/>
      <c r="D287" s="1002"/>
      <c r="E287" s="949"/>
      <c r="F287" s="1008"/>
      <c r="G287" s="977"/>
      <c r="S287" s="1003"/>
      <c r="T287" s="1004"/>
      <c r="U287" s="1003"/>
    </row>
    <row r="288" spans="1:23" s="978" customFormat="1" ht="46.8" customHeight="1" x14ac:dyDescent="0.25">
      <c r="A288" s="1010">
        <f>IF(C288&gt;0,COUNT(C$132:C288),"")</f>
        <v>19</v>
      </c>
      <c r="B288" s="1028" t="s">
        <v>1602</v>
      </c>
      <c r="C288" s="947">
        <v>1</v>
      </c>
      <c r="D288" s="1002" t="s">
        <v>981</v>
      </c>
      <c r="E288" s="949">
        <f>E286</f>
        <v>45000</v>
      </c>
      <c r="F288" s="950">
        <f>E288*C288</f>
        <v>45000</v>
      </c>
      <c r="G288" s="977"/>
      <c r="S288" s="1003"/>
      <c r="T288" s="1004"/>
      <c r="U288" s="1003"/>
    </row>
    <row r="289" spans="1:21" s="978" customFormat="1" x14ac:dyDescent="0.25">
      <c r="A289" s="1010"/>
      <c r="B289" s="1028"/>
      <c r="C289" s="947"/>
      <c r="D289" s="1002"/>
      <c r="E289" s="949"/>
      <c r="F289" s="950"/>
      <c r="G289" s="977"/>
      <c r="S289" s="1003"/>
      <c r="T289" s="1004"/>
      <c r="U289" s="1003"/>
    </row>
    <row r="290" spans="1:21" s="978" customFormat="1" x14ac:dyDescent="0.25">
      <c r="A290" s="1396" t="str">
        <f>IF(C290&gt;0,COUNT(C$132:C290),"")</f>
        <v/>
      </c>
      <c r="B290" s="1402"/>
      <c r="C290" s="1386"/>
      <c r="D290" s="1387"/>
      <c r="E290" s="1320"/>
      <c r="F290" s="1321"/>
      <c r="G290" s="977"/>
      <c r="S290" s="1003"/>
      <c r="T290" s="1004"/>
      <c r="U290" s="1003"/>
    </row>
    <row r="291" spans="1:21" s="978" customFormat="1" ht="16.8" customHeight="1" x14ac:dyDescent="0.25">
      <c r="A291" s="1398" t="str">
        <f>IF(C291&gt;0,COUNT(C$132:C291),"")</f>
        <v/>
      </c>
      <c r="B291" s="1403" t="s">
        <v>1603</v>
      </c>
      <c r="C291" s="1390"/>
      <c r="D291" s="1391"/>
      <c r="E291" s="1382"/>
      <c r="F291" s="1142"/>
      <c r="G291" s="977"/>
      <c r="S291" s="1003"/>
      <c r="T291" s="1004"/>
      <c r="U291" s="1003"/>
    </row>
    <row r="292" spans="1:21" s="978" customFormat="1" x14ac:dyDescent="0.25">
      <c r="A292" s="1010" t="str">
        <f>IF(C292&gt;0,COUNT(C$132:C292),"")</f>
        <v/>
      </c>
      <c r="B292" s="946"/>
      <c r="C292" s="947"/>
      <c r="D292" s="1002"/>
      <c r="E292" s="949"/>
      <c r="F292" s="1008"/>
      <c r="G292" s="977"/>
      <c r="S292" s="1003"/>
      <c r="T292" s="1004"/>
      <c r="U292" s="1003"/>
    </row>
    <row r="293" spans="1:21" s="978" customFormat="1" ht="76.8" customHeight="1" x14ac:dyDescent="0.25">
      <c r="A293" s="1010">
        <f>IF(C293&gt;0,COUNT(C$132:C293),"")</f>
        <v>20</v>
      </c>
      <c r="B293" s="946" t="s">
        <v>1604</v>
      </c>
      <c r="C293" s="947">
        <v>25</v>
      </c>
      <c r="D293" s="1030" t="s">
        <v>1605</v>
      </c>
      <c r="E293" s="1031">
        <v>55000</v>
      </c>
      <c r="F293" s="950">
        <f>E293*C293</f>
        <v>1375000</v>
      </c>
      <c r="G293" s="1032"/>
      <c r="S293" s="1003"/>
      <c r="T293" s="1004"/>
      <c r="U293" s="1003"/>
    </row>
    <row r="294" spans="1:21" s="978" customFormat="1" x14ac:dyDescent="0.25">
      <c r="A294" s="1010" t="str">
        <f>IF(C294&gt;0,COUNT(C$132:C294),"")</f>
        <v/>
      </c>
      <c r="B294" s="946"/>
      <c r="C294" s="947"/>
      <c r="D294" s="1002"/>
      <c r="E294" s="949"/>
      <c r="F294" s="1008"/>
      <c r="G294" s="977"/>
      <c r="S294" s="1003"/>
      <c r="T294" s="1004"/>
      <c r="U294" s="1003"/>
    </row>
    <row r="295" spans="1:21" s="978" customFormat="1" ht="63" customHeight="1" x14ac:dyDescent="0.25">
      <c r="A295" s="1010">
        <f>IF(C295&gt;0,COUNT(C$132:C295),"")</f>
        <v>21</v>
      </c>
      <c r="B295" s="946" t="s">
        <v>1606</v>
      </c>
      <c r="C295" s="1033">
        <v>18</v>
      </c>
      <c r="D295" s="1030" t="s">
        <v>1605</v>
      </c>
      <c r="E295" s="1031">
        <v>43500</v>
      </c>
      <c r="F295" s="950">
        <f>E295*C295</f>
        <v>783000</v>
      </c>
      <c r="G295" s="1032"/>
      <c r="S295" s="1003"/>
      <c r="T295" s="1004"/>
      <c r="U295" s="1003"/>
    </row>
    <row r="296" spans="1:21" s="978" customFormat="1" x14ac:dyDescent="0.25">
      <c r="A296" s="1010" t="str">
        <f>IF(C296&gt;0,COUNT(C$132:C296),"")</f>
        <v/>
      </c>
      <c r="B296" s="946"/>
      <c r="C296" s="947"/>
      <c r="D296" s="1002"/>
      <c r="E296" s="949"/>
      <c r="F296" s="950"/>
      <c r="G296" s="977"/>
      <c r="S296" s="1003"/>
      <c r="T296" s="1004"/>
      <c r="U296" s="1003"/>
    </row>
    <row r="297" spans="1:21" s="978" customFormat="1" ht="82.8" x14ac:dyDescent="0.25">
      <c r="A297" s="1010">
        <f>IF(C297&gt;0,COUNT(C$132:C297),"")</f>
        <v>22</v>
      </c>
      <c r="B297" s="946" t="s">
        <v>1607</v>
      </c>
      <c r="C297" s="947">
        <v>32</v>
      </c>
      <c r="D297" s="1002" t="s">
        <v>1605</v>
      </c>
      <c r="E297" s="949">
        <v>7500</v>
      </c>
      <c r="F297" s="950">
        <f>E297*C297</f>
        <v>240000</v>
      </c>
      <c r="G297" s="1032"/>
      <c r="S297" s="1003"/>
      <c r="T297" s="1004"/>
      <c r="U297" s="1003"/>
    </row>
    <row r="298" spans="1:21" s="978" customFormat="1" x14ac:dyDescent="0.25">
      <c r="A298" s="1010" t="str">
        <f>IF(C298&gt;0,COUNT(C$132:C298),"")</f>
        <v/>
      </c>
      <c r="B298" s="946"/>
      <c r="C298" s="947"/>
      <c r="D298" s="1002"/>
      <c r="E298" s="949"/>
      <c r="F298" s="1008"/>
      <c r="G298" s="977"/>
      <c r="S298" s="1003"/>
      <c r="T298" s="1004"/>
      <c r="U298" s="1003"/>
    </row>
    <row r="299" spans="1:21" s="978" customFormat="1" ht="75.599999999999994" customHeight="1" x14ac:dyDescent="0.25">
      <c r="A299" s="1010">
        <f>IF(C299&gt;0,COUNT(C$132:C299),"")</f>
        <v>23</v>
      </c>
      <c r="B299" s="946" t="s">
        <v>1608</v>
      </c>
      <c r="C299" s="947">
        <v>32</v>
      </c>
      <c r="D299" s="1002" t="s">
        <v>1605</v>
      </c>
      <c r="E299" s="949">
        <v>5450</v>
      </c>
      <c r="F299" s="950">
        <f>E299*C299</f>
        <v>174400</v>
      </c>
      <c r="G299" s="1032"/>
      <c r="S299" s="1003"/>
      <c r="T299" s="1004"/>
      <c r="U299" s="1003"/>
    </row>
    <row r="300" spans="1:21" s="978" customFormat="1" x14ac:dyDescent="0.25">
      <c r="A300" s="1010" t="str">
        <f>IF(C300&gt;0,COUNT(C$132:C300),"")</f>
        <v/>
      </c>
      <c r="B300" s="946"/>
      <c r="C300" s="947"/>
      <c r="D300" s="1002"/>
      <c r="E300" s="949"/>
      <c r="F300" s="1008"/>
      <c r="G300" s="977"/>
      <c r="S300" s="1003"/>
      <c r="T300" s="1004"/>
      <c r="U300" s="1003"/>
    </row>
    <row r="301" spans="1:21" s="978" customFormat="1" ht="82.8" x14ac:dyDescent="0.25">
      <c r="A301" s="1010">
        <f>IF(C301&gt;0,COUNT(C$132:C301),"")</f>
        <v>24</v>
      </c>
      <c r="B301" s="946" t="s">
        <v>1609</v>
      </c>
      <c r="C301" s="947">
        <v>47</v>
      </c>
      <c r="D301" s="1002" t="s">
        <v>1605</v>
      </c>
      <c r="E301" s="949">
        <v>6500</v>
      </c>
      <c r="F301" s="950">
        <f>E301*C301</f>
        <v>305500</v>
      </c>
      <c r="G301" s="1032"/>
      <c r="S301" s="1003"/>
      <c r="T301" s="1004"/>
      <c r="U301" s="1003"/>
    </row>
    <row r="302" spans="1:21" s="978" customFormat="1" x14ac:dyDescent="0.25">
      <c r="A302" s="1010" t="str">
        <f>IF(C302&gt;0,COUNT(C$132:C302),"")</f>
        <v/>
      </c>
      <c r="B302" s="946"/>
      <c r="C302" s="947"/>
      <c r="D302" s="1002"/>
      <c r="E302" s="949"/>
      <c r="F302" s="1008"/>
      <c r="G302" s="977"/>
      <c r="S302" s="1003"/>
      <c r="T302" s="1004"/>
      <c r="U302" s="1003"/>
    </row>
    <row r="303" spans="1:21" s="978" customFormat="1" ht="76.2" customHeight="1" x14ac:dyDescent="0.25">
      <c r="A303" s="1010">
        <f>IF(C303&gt;0,COUNT(C$132:C303),"")</f>
        <v>25</v>
      </c>
      <c r="B303" s="946" t="s">
        <v>1610</v>
      </c>
      <c r="C303" s="947">
        <v>37</v>
      </c>
      <c r="D303" s="1002" t="s">
        <v>1605</v>
      </c>
      <c r="E303" s="949">
        <v>19500</v>
      </c>
      <c r="F303" s="950">
        <f>E303*C303</f>
        <v>721500</v>
      </c>
      <c r="G303" s="977"/>
      <c r="S303" s="1003"/>
      <c r="T303" s="1004"/>
      <c r="U303" s="1003"/>
    </row>
    <row r="304" spans="1:21" s="978" customFormat="1" x14ac:dyDescent="0.25">
      <c r="A304" s="1010" t="str">
        <f>IF(C304&gt;0,COUNT(C$132:C304),"")</f>
        <v/>
      </c>
      <c r="B304" s="946"/>
      <c r="C304" s="947"/>
      <c r="D304" s="1002"/>
      <c r="E304" s="949"/>
      <c r="F304" s="1008"/>
      <c r="G304" s="977"/>
      <c r="S304" s="1003"/>
      <c r="T304" s="1004"/>
      <c r="U304" s="1003"/>
    </row>
    <row r="305" spans="1:21" s="978" customFormat="1" ht="73.8" customHeight="1" x14ac:dyDescent="0.25">
      <c r="A305" s="1010">
        <f>IF(C305&gt;0,COUNT(C$132:C305),"")</f>
        <v>26</v>
      </c>
      <c r="B305" s="946" t="s">
        <v>1611</v>
      </c>
      <c r="C305" s="947">
        <v>8</v>
      </c>
      <c r="D305" s="1002" t="s">
        <v>1605</v>
      </c>
      <c r="E305" s="949">
        <v>19500</v>
      </c>
      <c r="F305" s="950">
        <f>E305*C305</f>
        <v>156000</v>
      </c>
      <c r="G305" s="977"/>
      <c r="S305" s="1003"/>
      <c r="T305" s="1004"/>
      <c r="U305" s="1003"/>
    </row>
    <row r="306" spans="1:21" s="978" customFormat="1" x14ac:dyDescent="0.25">
      <c r="A306" s="1010" t="str">
        <f>IF(C306&gt;0,COUNT(C$132:C306),"")</f>
        <v/>
      </c>
      <c r="B306" s="946"/>
      <c r="C306" s="947"/>
      <c r="D306" s="1002"/>
      <c r="E306" s="949"/>
      <c r="F306" s="1008"/>
      <c r="G306" s="977"/>
      <c r="S306" s="1003"/>
      <c r="T306" s="1004"/>
      <c r="U306" s="1003"/>
    </row>
    <row r="307" spans="1:21" s="978" customFormat="1" ht="74.400000000000006" customHeight="1" x14ac:dyDescent="0.25">
      <c r="A307" s="1010">
        <f>IF(C307&gt;0,COUNT(C$132:C307),"")</f>
        <v>27</v>
      </c>
      <c r="B307" s="946" t="s">
        <v>1612</v>
      </c>
      <c r="C307" s="947">
        <v>23</v>
      </c>
      <c r="D307" s="1002" t="s">
        <v>1605</v>
      </c>
      <c r="E307" s="949">
        <v>4500</v>
      </c>
      <c r="F307" s="950">
        <f>E307*C307</f>
        <v>103500</v>
      </c>
      <c r="G307" s="977"/>
      <c r="S307" s="1003"/>
      <c r="T307" s="1004"/>
      <c r="U307" s="1003"/>
    </row>
    <row r="308" spans="1:21" s="978" customFormat="1" x14ac:dyDescent="0.25">
      <c r="A308" s="1010" t="str">
        <f>IF(C308&gt;0,COUNT(C$132:C308),"")</f>
        <v/>
      </c>
      <c r="B308" s="946"/>
      <c r="C308" s="947"/>
      <c r="D308" s="1002"/>
      <c r="E308" s="949"/>
      <c r="F308" s="1008"/>
      <c r="G308" s="977"/>
      <c r="S308" s="1003"/>
      <c r="T308" s="1004"/>
      <c r="U308" s="1003"/>
    </row>
    <row r="309" spans="1:21" s="978" customFormat="1" ht="76.8" customHeight="1" x14ac:dyDescent="0.25">
      <c r="A309" s="1010">
        <f>IF(C309&gt;0,COUNT(C$132:C309),"")</f>
        <v>28</v>
      </c>
      <c r="B309" s="946" t="s">
        <v>1613</v>
      </c>
      <c r="C309" s="947">
        <v>27</v>
      </c>
      <c r="D309" s="1002" t="s">
        <v>1605</v>
      </c>
      <c r="E309" s="949">
        <v>4500</v>
      </c>
      <c r="F309" s="950">
        <f>E309*C309</f>
        <v>121500</v>
      </c>
      <c r="G309" s="977"/>
      <c r="S309" s="1003"/>
      <c r="T309" s="1004"/>
      <c r="U309" s="1003"/>
    </row>
    <row r="310" spans="1:21" s="978" customFormat="1" x14ac:dyDescent="0.25">
      <c r="A310" s="1010" t="str">
        <f>IF(C310&gt;0,COUNT(C$132:C310),"")</f>
        <v/>
      </c>
      <c r="B310" s="946"/>
      <c r="C310" s="947"/>
      <c r="D310" s="1002"/>
      <c r="E310" s="949"/>
      <c r="F310" s="1008"/>
      <c r="G310" s="977"/>
      <c r="S310" s="1003"/>
      <c r="T310" s="1004"/>
      <c r="U310" s="1003"/>
    </row>
    <row r="311" spans="1:21" s="978" customFormat="1" ht="74.400000000000006" customHeight="1" x14ac:dyDescent="0.25">
      <c r="A311" s="1010">
        <f>IF(C311&gt;0,COUNT(C$132:C311),"")</f>
        <v>29</v>
      </c>
      <c r="B311" s="946" t="s">
        <v>1614</v>
      </c>
      <c r="C311" s="947">
        <v>31</v>
      </c>
      <c r="D311" s="1002" t="s">
        <v>1605</v>
      </c>
      <c r="E311" s="949">
        <v>4500</v>
      </c>
      <c r="F311" s="950">
        <f>E311*C311</f>
        <v>139500</v>
      </c>
      <c r="G311" s="977"/>
      <c r="S311" s="1003"/>
      <c r="T311" s="1004"/>
      <c r="U311" s="1003"/>
    </row>
    <row r="312" spans="1:21" s="978" customFormat="1" x14ac:dyDescent="0.25">
      <c r="A312" s="1396" t="str">
        <f>IF(C312&gt;0,COUNT(C$132:C312),"")</f>
        <v/>
      </c>
      <c r="B312" s="956"/>
      <c r="C312" s="1386"/>
      <c r="D312" s="1387"/>
      <c r="E312" s="1320"/>
      <c r="F312" s="1138"/>
      <c r="G312" s="977"/>
      <c r="S312" s="1003"/>
      <c r="T312" s="1004"/>
      <c r="U312" s="1003"/>
    </row>
    <row r="313" spans="1:21" s="978" customFormat="1" ht="75.599999999999994" customHeight="1" x14ac:dyDescent="0.25">
      <c r="A313" s="1398">
        <f>IF(C313&gt;0,COUNT(C$132:C313),"")</f>
        <v>30</v>
      </c>
      <c r="B313" s="1404" t="s">
        <v>1615</v>
      </c>
      <c r="C313" s="1390">
        <v>32</v>
      </c>
      <c r="D313" s="1391" t="s">
        <v>1605</v>
      </c>
      <c r="E313" s="1382">
        <v>4500</v>
      </c>
      <c r="F313" s="1383">
        <f>E313*C313</f>
        <v>144000</v>
      </c>
      <c r="G313" s="977"/>
      <c r="S313" s="1003"/>
      <c r="T313" s="1004"/>
      <c r="U313" s="1003"/>
    </row>
    <row r="314" spans="1:21" s="978" customFormat="1" x14ac:dyDescent="0.25">
      <c r="A314" s="1010" t="str">
        <f>IF(C314&gt;0,COUNT(C$132:C314),"")</f>
        <v/>
      </c>
      <c r="B314" s="946"/>
      <c r="C314" s="947"/>
      <c r="D314" s="1002"/>
      <c r="E314" s="949"/>
      <c r="F314" s="1008"/>
      <c r="G314" s="977"/>
      <c r="S314" s="1003"/>
      <c r="T314" s="1004"/>
      <c r="U314" s="1003"/>
    </row>
    <row r="315" spans="1:21" s="978" customFormat="1" ht="78.599999999999994" customHeight="1" x14ac:dyDescent="0.25">
      <c r="A315" s="1010">
        <f>IF(C315&gt;0,COUNT(C$132:C315),"")</f>
        <v>31</v>
      </c>
      <c r="B315" s="946" t="s">
        <v>1616</v>
      </c>
      <c r="C315" s="947">
        <v>37</v>
      </c>
      <c r="D315" s="1002" t="s">
        <v>1605</v>
      </c>
      <c r="E315" s="949">
        <v>6500</v>
      </c>
      <c r="F315" s="950">
        <f>E315*C315</f>
        <v>240500</v>
      </c>
      <c r="G315" s="977"/>
      <c r="S315" s="1003"/>
      <c r="T315" s="1004"/>
      <c r="U315" s="1003"/>
    </row>
    <row r="316" spans="1:21" s="978" customFormat="1" x14ac:dyDescent="0.25">
      <c r="A316" s="1010" t="str">
        <f>IF(C316&gt;0,COUNT(C$132:C316),"")</f>
        <v/>
      </c>
      <c r="B316" s="946"/>
      <c r="C316" s="947"/>
      <c r="D316" s="1002"/>
      <c r="E316" s="949"/>
      <c r="F316" s="950"/>
      <c r="G316" s="977"/>
      <c r="S316" s="1003"/>
      <c r="T316" s="1004"/>
      <c r="U316" s="1003"/>
    </row>
    <row r="317" spans="1:21" s="978" customFormat="1" ht="62.4" customHeight="1" x14ac:dyDescent="0.25">
      <c r="A317" s="1010">
        <f>IF(C317&gt;0,COUNT(C$132:C317),"")</f>
        <v>32</v>
      </c>
      <c r="B317" s="946" t="s">
        <v>1617</v>
      </c>
      <c r="C317" s="947">
        <v>10</v>
      </c>
      <c r="D317" s="1002" t="s">
        <v>1605</v>
      </c>
      <c r="E317" s="949">
        <v>4500</v>
      </c>
      <c r="F317" s="950">
        <f>E317*C317</f>
        <v>45000</v>
      </c>
      <c r="G317" s="977"/>
      <c r="S317" s="1003"/>
      <c r="T317" s="1004"/>
      <c r="U317" s="1003"/>
    </row>
    <row r="318" spans="1:21" s="978" customFormat="1" x14ac:dyDescent="0.25">
      <c r="A318" s="1010" t="str">
        <f>IF(C318&gt;0,COUNT(C$132:C318),"")</f>
        <v/>
      </c>
      <c r="B318" s="946"/>
      <c r="C318" s="947"/>
      <c r="D318" s="1002"/>
      <c r="E318" s="949"/>
      <c r="F318" s="950"/>
      <c r="G318" s="977"/>
      <c r="S318" s="1003"/>
      <c r="T318" s="1004"/>
      <c r="U318" s="1003"/>
    </row>
    <row r="319" spans="1:21" s="978" customFormat="1" ht="73.8" customHeight="1" x14ac:dyDescent="0.25">
      <c r="A319" s="1010">
        <f>IF(C319&gt;0,COUNT(C$132:C319),"")</f>
        <v>33</v>
      </c>
      <c r="B319" s="946" t="s">
        <v>1618</v>
      </c>
      <c r="C319" s="947">
        <v>41</v>
      </c>
      <c r="D319" s="1002" t="s">
        <v>1605</v>
      </c>
      <c r="E319" s="949">
        <v>5500</v>
      </c>
      <c r="F319" s="950">
        <f>E319*C319</f>
        <v>225500</v>
      </c>
      <c r="G319" s="977"/>
      <c r="S319" s="1003"/>
      <c r="T319" s="1004"/>
      <c r="U319" s="1003"/>
    </row>
    <row r="320" spans="1:21" s="978" customFormat="1" x14ac:dyDescent="0.25">
      <c r="A320" s="1010" t="str">
        <f>IF(C320&gt;0,COUNT(C$132:C320),"")</f>
        <v/>
      </c>
      <c r="B320" s="946"/>
      <c r="C320" s="947"/>
      <c r="D320" s="1002"/>
      <c r="E320" s="949"/>
      <c r="F320" s="950"/>
      <c r="G320" s="977"/>
      <c r="S320" s="1003"/>
      <c r="T320" s="1004"/>
      <c r="U320" s="1003"/>
    </row>
    <row r="321" spans="1:21" s="978" customFormat="1" ht="78" customHeight="1" x14ac:dyDescent="0.25">
      <c r="A321" s="1010">
        <f>IF(C321&gt;0,COUNT(C$132:C321),"")</f>
        <v>34</v>
      </c>
      <c r="B321" s="946" t="s">
        <v>1619</v>
      </c>
      <c r="C321" s="947">
        <v>5</v>
      </c>
      <c r="D321" s="1002" t="s">
        <v>1605</v>
      </c>
      <c r="E321" s="949">
        <v>6500</v>
      </c>
      <c r="F321" s="950">
        <f>E321*C321</f>
        <v>32500</v>
      </c>
      <c r="G321" s="977"/>
      <c r="S321" s="1003"/>
      <c r="T321" s="1004"/>
      <c r="U321" s="1003"/>
    </row>
    <row r="322" spans="1:21" s="978" customFormat="1" x14ac:dyDescent="0.25">
      <c r="A322" s="1010" t="str">
        <f>IF(C322&gt;0,COUNT(C$132:C322),"")</f>
        <v/>
      </c>
      <c r="B322" s="946"/>
      <c r="C322" s="947"/>
      <c r="D322" s="1002"/>
      <c r="E322" s="949"/>
      <c r="F322" s="950"/>
      <c r="G322" s="977"/>
      <c r="S322" s="1003"/>
      <c r="T322" s="1004"/>
      <c r="U322" s="1003"/>
    </row>
    <row r="323" spans="1:21" s="978" customFormat="1" ht="76.2" customHeight="1" x14ac:dyDescent="0.25">
      <c r="A323" s="1010">
        <f>IF(C323&gt;0,COUNT(C$132:C323),"")</f>
        <v>35</v>
      </c>
      <c r="B323" s="946" t="s">
        <v>1620</v>
      </c>
      <c r="C323" s="947">
        <v>6</v>
      </c>
      <c r="D323" s="1002" t="s">
        <v>1605</v>
      </c>
      <c r="E323" s="949">
        <v>6500</v>
      </c>
      <c r="F323" s="950">
        <f>E323*C323</f>
        <v>39000</v>
      </c>
      <c r="G323" s="977"/>
      <c r="S323" s="1003"/>
      <c r="T323" s="1004"/>
      <c r="U323" s="1003"/>
    </row>
    <row r="324" spans="1:21" s="978" customFormat="1" x14ac:dyDescent="0.25">
      <c r="A324" s="1010" t="str">
        <f>IF(C324&gt;0,COUNT(C$132:C324),"")</f>
        <v/>
      </c>
      <c r="B324" s="946"/>
      <c r="C324" s="947"/>
      <c r="D324" s="1002"/>
      <c r="E324" s="949"/>
      <c r="F324" s="950"/>
      <c r="G324" s="977"/>
      <c r="S324" s="1003"/>
      <c r="T324" s="1004"/>
      <c r="U324" s="1003"/>
    </row>
    <row r="325" spans="1:21" s="978" customFormat="1" ht="78.599999999999994" customHeight="1" x14ac:dyDescent="0.25">
      <c r="A325" s="1010">
        <f>IF(C325&gt;0,COUNT(C$132:C325),"")</f>
        <v>36</v>
      </c>
      <c r="B325" s="946" t="s">
        <v>1621</v>
      </c>
      <c r="C325" s="947">
        <v>33</v>
      </c>
      <c r="D325" s="1002" t="s">
        <v>1605</v>
      </c>
      <c r="E325" s="949">
        <v>6500</v>
      </c>
      <c r="F325" s="950">
        <f>E325*C325</f>
        <v>214500</v>
      </c>
      <c r="G325" s="977"/>
      <c r="S325" s="1003"/>
      <c r="T325" s="1004"/>
      <c r="U325" s="1003"/>
    </row>
    <row r="326" spans="1:21" s="978" customFormat="1" x14ac:dyDescent="0.25">
      <c r="A326" s="1010" t="str">
        <f>IF(C326&gt;0,COUNT(C$132:C326),"")</f>
        <v/>
      </c>
      <c r="B326" s="946"/>
      <c r="C326" s="947"/>
      <c r="D326" s="1002"/>
      <c r="E326" s="949"/>
      <c r="F326" s="950"/>
      <c r="G326" s="977"/>
      <c r="S326" s="1003"/>
      <c r="T326" s="1004"/>
      <c r="U326" s="1003"/>
    </row>
    <row r="327" spans="1:21" s="978" customFormat="1" ht="75.599999999999994" customHeight="1" x14ac:dyDescent="0.25">
      <c r="A327" s="1010">
        <f>IF(C327&gt;0,COUNT(C$132:C327),"")</f>
        <v>37</v>
      </c>
      <c r="B327" s="946" t="s">
        <v>1622</v>
      </c>
      <c r="C327" s="947">
        <v>26</v>
      </c>
      <c r="D327" s="1002" t="s">
        <v>1605</v>
      </c>
      <c r="E327" s="949">
        <v>6500</v>
      </c>
      <c r="F327" s="950">
        <f>E327*C327</f>
        <v>169000</v>
      </c>
      <c r="G327" s="977"/>
      <c r="S327" s="1003"/>
      <c r="T327" s="1004"/>
      <c r="U327" s="1003"/>
    </row>
    <row r="328" spans="1:21" s="978" customFormat="1" x14ac:dyDescent="0.25">
      <c r="A328" s="1010"/>
      <c r="B328" s="946"/>
      <c r="C328" s="947"/>
      <c r="D328" s="1002"/>
      <c r="E328" s="949"/>
      <c r="F328" s="950"/>
      <c r="G328" s="977"/>
      <c r="S328" s="1003"/>
      <c r="T328" s="1004"/>
      <c r="U328" s="1003"/>
    </row>
    <row r="329" spans="1:21" s="978" customFormat="1" ht="75.599999999999994" customHeight="1" x14ac:dyDescent="0.25">
      <c r="A329" s="1010">
        <f>IF(C329&gt;0,COUNT(C$132:C329),"")</f>
        <v>38</v>
      </c>
      <c r="B329" s="946" t="s">
        <v>1623</v>
      </c>
      <c r="C329" s="947">
        <v>19</v>
      </c>
      <c r="D329" s="1002" t="s">
        <v>1605</v>
      </c>
      <c r="E329" s="1587">
        <v>4500</v>
      </c>
      <c r="F329" s="950">
        <f>E329*C329</f>
        <v>85500</v>
      </c>
      <c r="G329" s="977"/>
      <c r="S329" s="1003"/>
      <c r="T329" s="1004"/>
      <c r="U329" s="1003"/>
    </row>
    <row r="330" spans="1:21" s="978" customFormat="1" x14ac:dyDescent="0.25">
      <c r="A330" s="1010" t="str">
        <f>IF(C330&gt;0,COUNT(C$132:C330),"")</f>
        <v/>
      </c>
      <c r="B330" s="946"/>
      <c r="C330" s="947"/>
      <c r="D330" s="1002"/>
      <c r="E330" s="949"/>
      <c r="F330" s="950"/>
      <c r="G330" s="977"/>
      <c r="S330" s="1003"/>
      <c r="T330" s="1004"/>
      <c r="U330" s="1003"/>
    </row>
    <row r="331" spans="1:21" s="978" customFormat="1" ht="75.599999999999994" customHeight="1" x14ac:dyDescent="0.25">
      <c r="A331" s="1010">
        <f>IF(C331&gt;0,COUNT(C$132:C331),"")</f>
        <v>39</v>
      </c>
      <c r="B331" s="946" t="s">
        <v>1624</v>
      </c>
      <c r="C331" s="947">
        <v>5</v>
      </c>
      <c r="D331" s="1002" t="s">
        <v>1605</v>
      </c>
      <c r="E331" s="949">
        <v>4500</v>
      </c>
      <c r="F331" s="950">
        <f>E331*C331</f>
        <v>22500</v>
      </c>
      <c r="G331" s="977"/>
      <c r="S331" s="1003"/>
      <c r="T331" s="1004"/>
      <c r="U331" s="1003"/>
    </row>
    <row r="332" spans="1:21" s="978" customFormat="1" x14ac:dyDescent="0.25">
      <c r="A332" s="1010"/>
      <c r="B332" s="946"/>
      <c r="C332" s="947"/>
      <c r="D332" s="1002"/>
      <c r="E332" s="949"/>
      <c r="F332" s="950"/>
      <c r="G332" s="977"/>
      <c r="S332" s="1003"/>
      <c r="T332" s="1004"/>
      <c r="U332" s="1003"/>
    </row>
    <row r="333" spans="1:21" s="1036" customFormat="1" x14ac:dyDescent="0.25">
      <c r="A333" s="1010" t="str">
        <f>IF(C333&gt;0,COUNT(C$132:C333),"")</f>
        <v/>
      </c>
      <c r="B333" s="1034" t="s">
        <v>1416</v>
      </c>
      <c r="C333" s="947"/>
      <c r="D333" s="1030"/>
      <c r="E333" s="949"/>
      <c r="F333" s="1008"/>
      <c r="G333" s="1035"/>
      <c r="S333" s="1037"/>
      <c r="T333" s="1004"/>
      <c r="U333" s="1037"/>
    </row>
    <row r="334" spans="1:21" s="1036" customFormat="1" x14ac:dyDescent="0.25">
      <c r="A334" s="1010" t="str">
        <f>IF(C334&gt;0,COUNT(C$132:C334),"")</f>
        <v/>
      </c>
      <c r="B334" s="1034"/>
      <c r="C334" s="947"/>
      <c r="D334" s="1030"/>
      <c r="E334" s="949"/>
      <c r="F334" s="1008"/>
      <c r="G334" s="1035"/>
      <c r="S334" s="1037"/>
      <c r="T334" s="1004"/>
      <c r="U334" s="1037"/>
    </row>
    <row r="335" spans="1:21" s="978" customFormat="1" x14ac:dyDescent="0.25">
      <c r="A335" s="1010" t="str">
        <f>IF(C335&gt;0,COUNT(C$132:C335),"")</f>
        <v/>
      </c>
      <c r="B335" s="1021" t="s">
        <v>1625</v>
      </c>
      <c r="C335" s="947"/>
      <c r="D335" s="1002"/>
      <c r="E335" s="949"/>
      <c r="F335" s="1008"/>
      <c r="G335" s="977"/>
      <c r="S335" s="1003"/>
      <c r="T335" s="1004"/>
      <c r="U335" s="1003"/>
    </row>
    <row r="336" spans="1:21" s="978" customFormat="1" x14ac:dyDescent="0.25">
      <c r="A336" s="1396" t="str">
        <f>IF(C336&gt;0,COUNT(C$132:C336),"")</f>
        <v/>
      </c>
      <c r="B336" s="1405"/>
      <c r="C336" s="1406"/>
      <c r="D336" s="1407"/>
      <c r="E336" s="1408"/>
      <c r="F336" s="1409"/>
      <c r="G336" s="977"/>
      <c r="S336" s="1003"/>
      <c r="T336" s="1004"/>
      <c r="U336" s="1003"/>
    </row>
    <row r="337" spans="1:21" s="978" customFormat="1" ht="78" customHeight="1" x14ac:dyDescent="0.25">
      <c r="A337" s="1398">
        <f>IF(C337&gt;0,COUNT(C$132:C337),"")</f>
        <v>40</v>
      </c>
      <c r="B337" s="1404" t="s">
        <v>1626</v>
      </c>
      <c r="C337" s="1390">
        <v>27</v>
      </c>
      <c r="D337" s="1391" t="s">
        <v>981</v>
      </c>
      <c r="E337" s="1588">
        <v>14500</v>
      </c>
      <c r="F337" s="1383">
        <f>E337*C337</f>
        <v>391500</v>
      </c>
      <c r="G337" s="977"/>
      <c r="S337" s="1003"/>
      <c r="T337" s="1004"/>
      <c r="U337" s="1003"/>
    </row>
    <row r="338" spans="1:21" s="978" customFormat="1" x14ac:dyDescent="0.25">
      <c r="A338" s="1010" t="str">
        <f>IF(C338&gt;0,COUNT(C$132:C338),"")</f>
        <v/>
      </c>
      <c r="B338" s="1043"/>
      <c r="C338" s="1044"/>
      <c r="D338" s="1002"/>
      <c r="E338" s="949"/>
      <c r="F338" s="1008"/>
      <c r="G338" s="977"/>
      <c r="S338" s="1003"/>
      <c r="T338" s="1004"/>
      <c r="U338" s="1003"/>
    </row>
    <row r="339" spans="1:21" s="978" customFormat="1" ht="75.599999999999994" customHeight="1" x14ac:dyDescent="0.25">
      <c r="A339" s="1010">
        <f>IF(C339&gt;0,COUNT(C$132:C339),"")</f>
        <v>41</v>
      </c>
      <c r="B339" s="946" t="s">
        <v>1627</v>
      </c>
      <c r="C339" s="947">
        <v>2</v>
      </c>
      <c r="D339" s="1002" t="s">
        <v>981</v>
      </c>
      <c r="E339" s="949">
        <f>E337</f>
        <v>14500</v>
      </c>
      <c r="F339" s="950">
        <f>E339*C339</f>
        <v>29000</v>
      </c>
      <c r="G339" s="977"/>
      <c r="S339" s="1003"/>
      <c r="T339" s="1004"/>
      <c r="U339" s="1003"/>
    </row>
    <row r="340" spans="1:21" s="978" customFormat="1" x14ac:dyDescent="0.25">
      <c r="A340" s="1010" t="str">
        <f>IF(C340&gt;0,COUNT(C$132:C340),"")</f>
        <v/>
      </c>
      <c r="B340" s="946"/>
      <c r="C340" s="947"/>
      <c r="D340" s="1002"/>
      <c r="E340" s="949"/>
      <c r="F340" s="950"/>
      <c r="G340" s="977"/>
      <c r="S340" s="1003"/>
      <c r="T340" s="1004"/>
      <c r="U340" s="1003"/>
    </row>
    <row r="341" spans="1:21" s="978" customFormat="1" ht="90" customHeight="1" x14ac:dyDescent="0.25">
      <c r="A341" s="1010">
        <f>IF(C341&gt;0,COUNT(C$132:C341),"")</f>
        <v>42</v>
      </c>
      <c r="B341" s="946" t="s">
        <v>1628</v>
      </c>
      <c r="C341" s="947">
        <v>4</v>
      </c>
      <c r="D341" s="1002" t="s">
        <v>981</v>
      </c>
      <c r="E341" s="949">
        <f>E339</f>
        <v>14500</v>
      </c>
      <c r="F341" s="950">
        <f>E341*C341</f>
        <v>58000</v>
      </c>
      <c r="G341" s="977"/>
      <c r="S341" s="1003"/>
      <c r="T341" s="1004"/>
      <c r="U341" s="1003"/>
    </row>
    <row r="342" spans="1:21" x14ac:dyDescent="0.25">
      <c r="A342" s="1010" t="str">
        <f>IF(C342&gt;0,COUNT(C$132:C342),"")</f>
        <v/>
      </c>
      <c r="B342" s="946"/>
      <c r="C342" s="947"/>
      <c r="D342" s="1002"/>
      <c r="E342" s="949"/>
      <c r="F342" s="1008"/>
      <c r="S342" s="1046"/>
      <c r="T342" s="1004"/>
      <c r="U342" s="1046"/>
    </row>
    <row r="343" spans="1:21" ht="76.2" customHeight="1" x14ac:dyDescent="0.25">
      <c r="A343" s="1010">
        <f>IF(C343&gt;0,COUNT(C$132:C343),"")</f>
        <v>43</v>
      </c>
      <c r="B343" s="946" t="s">
        <v>1629</v>
      </c>
      <c r="C343" s="947">
        <v>49</v>
      </c>
      <c r="D343" s="1002" t="s">
        <v>981</v>
      </c>
      <c r="E343" s="949">
        <f>E341</f>
        <v>14500</v>
      </c>
      <c r="F343" s="950">
        <f>E343*C343</f>
        <v>710500</v>
      </c>
      <c r="S343" s="1046"/>
      <c r="T343" s="1004"/>
      <c r="U343" s="1046"/>
    </row>
    <row r="344" spans="1:21" x14ac:dyDescent="0.25">
      <c r="A344" s="1010" t="str">
        <f>IF(C344&gt;0,COUNT(C$132:C344),"")</f>
        <v/>
      </c>
      <c r="B344" s="946"/>
      <c r="C344" s="947"/>
      <c r="D344" s="1002"/>
      <c r="E344" s="949"/>
      <c r="F344" s="1008"/>
      <c r="S344" s="1046"/>
      <c r="T344" s="1004"/>
      <c r="U344" s="1046"/>
    </row>
    <row r="345" spans="1:21" ht="74.400000000000006" customHeight="1" x14ac:dyDescent="0.25">
      <c r="A345" s="1010">
        <f>IF(C345&gt;0,COUNT(C$132:C345),"")</f>
        <v>44</v>
      </c>
      <c r="B345" s="946" t="s">
        <v>1630</v>
      </c>
      <c r="C345" s="947">
        <v>1</v>
      </c>
      <c r="D345" s="1002" t="s">
        <v>981</v>
      </c>
      <c r="E345" s="949">
        <f>E343</f>
        <v>14500</v>
      </c>
      <c r="F345" s="950">
        <f>E345*C345</f>
        <v>14500</v>
      </c>
      <c r="S345" s="1046"/>
      <c r="T345" s="1004"/>
      <c r="U345" s="1046"/>
    </row>
    <row r="346" spans="1:21" x14ac:dyDescent="0.25">
      <c r="A346" s="1010" t="str">
        <f>IF(C346&gt;0,COUNT(C$132:C346),"")</f>
        <v/>
      </c>
      <c r="B346" s="946"/>
      <c r="C346" s="947"/>
      <c r="D346" s="1002"/>
      <c r="E346" s="949"/>
      <c r="F346" s="1008"/>
      <c r="S346" s="1046"/>
      <c r="T346" s="1004"/>
      <c r="U346" s="1046"/>
    </row>
    <row r="347" spans="1:21" ht="73.2" customHeight="1" x14ac:dyDescent="0.25">
      <c r="A347" s="1010">
        <f>IF(C347&gt;0,COUNT(C$132:C347),"")</f>
        <v>45</v>
      </c>
      <c r="B347" s="946" t="s">
        <v>1631</v>
      </c>
      <c r="C347" s="947">
        <v>13</v>
      </c>
      <c r="D347" s="1002" t="s">
        <v>981</v>
      </c>
      <c r="E347" s="949">
        <f>E345</f>
        <v>14500</v>
      </c>
      <c r="F347" s="950">
        <f>E347*C347</f>
        <v>188500</v>
      </c>
      <c r="S347" s="1046"/>
      <c r="T347" s="1004"/>
      <c r="U347" s="1046"/>
    </row>
    <row r="348" spans="1:21" x14ac:dyDescent="0.25">
      <c r="A348" s="1010" t="str">
        <f>IF(C348&gt;0,COUNT(C$132:C348),"")</f>
        <v/>
      </c>
      <c r="B348" s="946"/>
      <c r="C348" s="947"/>
      <c r="D348" s="1002"/>
      <c r="E348" s="949"/>
      <c r="F348" s="950"/>
      <c r="S348" s="1046"/>
      <c r="T348" s="1004"/>
      <c r="U348" s="1046"/>
    </row>
    <row r="349" spans="1:21" ht="45" customHeight="1" x14ac:dyDescent="0.25">
      <c r="A349" s="1010" t="str">
        <f>IF(C349&gt;0,COUNT(C$132:C349),"")</f>
        <v/>
      </c>
      <c r="B349" s="946" t="s">
        <v>1417</v>
      </c>
      <c r="C349" s="947"/>
      <c r="D349" s="1002"/>
      <c r="E349" s="949"/>
      <c r="F349" s="950"/>
      <c r="S349" s="1046"/>
      <c r="T349" s="1004"/>
      <c r="U349" s="1046"/>
    </row>
    <row r="350" spans="1:21" x14ac:dyDescent="0.25">
      <c r="A350" s="1010" t="str">
        <f>IF(C350&gt;0,COUNT(C$132:C350),"")</f>
        <v/>
      </c>
      <c r="B350" s="946"/>
      <c r="C350" s="947"/>
      <c r="D350" s="1002"/>
      <c r="E350" s="949"/>
      <c r="F350" s="950"/>
      <c r="S350" s="1046"/>
      <c r="T350" s="1004"/>
      <c r="U350" s="1046"/>
    </row>
    <row r="351" spans="1:21" ht="46.8" customHeight="1" x14ac:dyDescent="0.25">
      <c r="A351" s="1010" t="str">
        <f>IF(C351&gt;0,COUNT(C$132:C351),"")</f>
        <v/>
      </c>
      <c r="B351" s="946" t="s">
        <v>1632</v>
      </c>
      <c r="C351" s="947"/>
      <c r="D351" s="1002"/>
      <c r="E351" s="949"/>
      <c r="F351" s="950"/>
      <c r="S351" s="1046"/>
      <c r="T351" s="1004"/>
      <c r="U351" s="1046"/>
    </row>
    <row r="352" spans="1:21" x14ac:dyDescent="0.25">
      <c r="A352" s="1010" t="str">
        <f>IF(C352&gt;0,COUNT(C$132:C352),"")</f>
        <v/>
      </c>
      <c r="B352" s="946"/>
      <c r="C352" s="947"/>
      <c r="D352" s="1002"/>
      <c r="E352" s="949"/>
      <c r="F352" s="950"/>
      <c r="S352" s="1046"/>
      <c r="T352" s="1004"/>
      <c r="U352" s="1046"/>
    </row>
    <row r="353" spans="1:21" ht="41.4" x14ac:dyDescent="0.25">
      <c r="A353" s="1010" t="str">
        <f>IF(C353&gt;0,COUNT(C$132:C353),"")</f>
        <v/>
      </c>
      <c r="B353" s="946" t="s">
        <v>1633</v>
      </c>
      <c r="C353" s="947"/>
      <c r="D353" s="1002"/>
      <c r="E353" s="949"/>
      <c r="F353" s="950">
        <f>E353*C353</f>
        <v>0</v>
      </c>
      <c r="S353" s="1046"/>
      <c r="T353" s="1004"/>
      <c r="U353" s="1046"/>
    </row>
    <row r="354" spans="1:21" x14ac:dyDescent="0.25">
      <c r="A354" s="1010" t="str">
        <f>IF(C354&gt;0,COUNT(C$132:C354),"")</f>
        <v/>
      </c>
      <c r="B354" s="946"/>
      <c r="C354" s="947"/>
      <c r="D354" s="1002"/>
      <c r="E354" s="949"/>
      <c r="F354" s="950"/>
      <c r="S354" s="1046"/>
      <c r="T354" s="1004"/>
      <c r="U354" s="1046"/>
    </row>
    <row r="355" spans="1:21" ht="41.4" x14ac:dyDescent="0.25">
      <c r="A355" s="1010" t="str">
        <f>IF(C355&gt;0,COUNT(C$132:C355),"")</f>
        <v/>
      </c>
      <c r="B355" s="946" t="s">
        <v>1634</v>
      </c>
      <c r="C355" s="947"/>
      <c r="D355" s="1002"/>
      <c r="E355" s="949"/>
      <c r="F355" s="950">
        <f>E355*C355</f>
        <v>0</v>
      </c>
      <c r="S355" s="1046"/>
      <c r="T355" s="1004"/>
      <c r="U355" s="1046"/>
    </row>
    <row r="356" spans="1:21" x14ac:dyDescent="0.25">
      <c r="A356" s="1010"/>
      <c r="B356" s="946"/>
      <c r="C356" s="947"/>
      <c r="D356" s="1002"/>
      <c r="E356" s="949"/>
      <c r="F356" s="950"/>
      <c r="S356" s="1046"/>
      <c r="T356" s="1004"/>
      <c r="U356" s="1046"/>
    </row>
    <row r="357" spans="1:21" x14ac:dyDescent="0.25">
      <c r="A357" s="1010"/>
      <c r="B357" s="946"/>
      <c r="C357" s="947"/>
      <c r="D357" s="1002"/>
      <c r="E357" s="949"/>
      <c r="F357" s="950"/>
      <c r="S357" s="1046"/>
      <c r="T357" s="1004"/>
      <c r="U357" s="1046"/>
    </row>
    <row r="358" spans="1:21" x14ac:dyDescent="0.25">
      <c r="A358" s="1010"/>
      <c r="B358" s="326" t="s">
        <v>915</v>
      </c>
      <c r="C358" s="1097"/>
      <c r="D358" s="1098"/>
      <c r="E358" s="1099"/>
      <c r="F358" s="1098"/>
      <c r="S358" s="1046"/>
      <c r="T358" s="1004"/>
      <c r="U358" s="1046"/>
    </row>
    <row r="359" spans="1:21" ht="48" customHeight="1" x14ac:dyDescent="0.25">
      <c r="A359" s="1010"/>
      <c r="B359" s="946" t="s">
        <v>1423</v>
      </c>
      <c r="C359" s="1097">
        <v>67</v>
      </c>
      <c r="D359" s="948" t="s">
        <v>981</v>
      </c>
      <c r="E359" s="949">
        <v>1850</v>
      </c>
      <c r="F359" s="950">
        <f>E359*C359</f>
        <v>123950</v>
      </c>
      <c r="S359" s="1046"/>
      <c r="T359" s="1004"/>
      <c r="U359" s="1046"/>
    </row>
    <row r="360" spans="1:21" x14ac:dyDescent="0.25">
      <c r="A360" s="1010"/>
      <c r="B360" s="745"/>
      <c r="C360" s="1097"/>
      <c r="D360" s="1098"/>
      <c r="E360" s="1099"/>
      <c r="F360" s="1098"/>
      <c r="S360" s="1046"/>
      <c r="T360" s="1004"/>
      <c r="U360" s="1046"/>
    </row>
    <row r="361" spans="1:21" ht="27.6" x14ac:dyDescent="0.25">
      <c r="A361" s="1010"/>
      <c r="B361" s="303" t="s">
        <v>1418</v>
      </c>
      <c r="C361" s="1097">
        <v>11</v>
      </c>
      <c r="D361" s="1098" t="s">
        <v>78</v>
      </c>
      <c r="E361" s="1099">
        <f>(4000)*1.45</f>
        <v>5800</v>
      </c>
      <c r="F361" s="1098">
        <f>E361*C361</f>
        <v>63800</v>
      </c>
      <c r="S361" s="1046"/>
      <c r="T361" s="1004"/>
      <c r="U361" s="1046"/>
    </row>
    <row r="362" spans="1:21" x14ac:dyDescent="0.25">
      <c r="A362" s="1010"/>
      <c r="B362" s="326"/>
      <c r="C362" s="1097"/>
      <c r="D362" s="1098"/>
      <c r="E362" s="1099"/>
      <c r="F362" s="1098"/>
      <c r="S362" s="1046"/>
      <c r="T362" s="1004"/>
      <c r="U362" s="1046"/>
    </row>
    <row r="363" spans="1:21" ht="27.6" x14ac:dyDescent="0.25">
      <c r="A363" s="1010"/>
      <c r="B363" s="303" t="s">
        <v>1424</v>
      </c>
      <c r="C363" s="1097">
        <v>25</v>
      </c>
      <c r="D363" s="1098" t="s">
        <v>168</v>
      </c>
      <c r="E363" s="1099">
        <f>(5000)*1.45</f>
        <v>7250</v>
      </c>
      <c r="F363" s="1098">
        <f>E363*C363</f>
        <v>181250</v>
      </c>
      <c r="S363" s="1046"/>
      <c r="T363" s="1004"/>
      <c r="U363" s="1046"/>
    </row>
    <row r="364" spans="1:21" x14ac:dyDescent="0.25">
      <c r="A364" s="1396"/>
      <c r="B364" s="916"/>
      <c r="C364" s="782"/>
      <c r="D364" s="726"/>
      <c r="E364" s="944"/>
      <c r="F364" s="726"/>
      <c r="S364" s="1046"/>
      <c r="T364" s="1004"/>
      <c r="U364" s="1046"/>
    </row>
    <row r="365" spans="1:21" ht="27.6" x14ac:dyDescent="0.25">
      <c r="A365" s="1398"/>
      <c r="B365" s="915" t="s">
        <v>1419</v>
      </c>
      <c r="C365" s="811">
        <v>1</v>
      </c>
      <c r="D365" s="629" t="s">
        <v>78</v>
      </c>
      <c r="E365" s="945">
        <f>(5000)*1.45</f>
        <v>7250</v>
      </c>
      <c r="F365" s="629">
        <f>E365*C365</f>
        <v>7250</v>
      </c>
      <c r="S365" s="1046"/>
      <c r="T365" s="1004"/>
      <c r="U365" s="1046"/>
    </row>
    <row r="366" spans="1:21" x14ac:dyDescent="0.25">
      <c r="A366" s="1010"/>
      <c r="B366" s="303"/>
      <c r="C366" s="1097"/>
      <c r="D366" s="1098"/>
      <c r="E366" s="1099"/>
      <c r="F366" s="1098"/>
      <c r="S366" s="1046"/>
      <c r="T366" s="1004"/>
      <c r="U366" s="1046"/>
    </row>
    <row r="367" spans="1:21" ht="27.6" x14ac:dyDescent="0.25">
      <c r="A367" s="1010"/>
      <c r="B367" s="303" t="s">
        <v>1427</v>
      </c>
      <c r="C367" s="1097">
        <v>25</v>
      </c>
      <c r="D367" s="1098" t="s">
        <v>78</v>
      </c>
      <c r="E367" s="1099">
        <f>(5500)*1.45</f>
        <v>7975</v>
      </c>
      <c r="F367" s="1098">
        <f>E367*C367</f>
        <v>199375</v>
      </c>
      <c r="S367" s="1046"/>
      <c r="T367" s="1004"/>
      <c r="U367" s="1046"/>
    </row>
    <row r="368" spans="1:21" x14ac:dyDescent="0.25">
      <c r="A368" s="1010"/>
      <c r="B368" s="326"/>
      <c r="C368" s="1097"/>
      <c r="D368" s="1098"/>
      <c r="E368" s="1099"/>
      <c r="F368" s="1098"/>
      <c r="S368" s="1046"/>
      <c r="T368" s="1004"/>
      <c r="U368" s="1046"/>
    </row>
    <row r="369" spans="1:23" x14ac:dyDescent="0.25">
      <c r="A369" s="1010"/>
      <c r="B369" s="303" t="s">
        <v>1420</v>
      </c>
      <c r="C369" s="1097">
        <v>1</v>
      </c>
      <c r="D369" s="1098" t="s">
        <v>78</v>
      </c>
      <c r="E369" s="1099">
        <f>(2500)*1.45</f>
        <v>3625</v>
      </c>
      <c r="F369" s="1098">
        <f>E369*C369</f>
        <v>3625</v>
      </c>
      <c r="S369" s="1046"/>
      <c r="T369" s="1004"/>
      <c r="U369" s="1046"/>
    </row>
    <row r="370" spans="1:23" x14ac:dyDescent="0.25">
      <c r="A370" s="1010"/>
      <c r="B370" s="946"/>
      <c r="C370" s="947"/>
      <c r="D370" s="1002"/>
      <c r="E370" s="949"/>
      <c r="F370" s="950"/>
      <c r="S370" s="1046"/>
      <c r="T370" s="1004"/>
      <c r="U370" s="1046"/>
    </row>
    <row r="371" spans="1:23" s="978" customFormat="1" ht="72.599999999999994" customHeight="1" x14ac:dyDescent="0.25">
      <c r="A371" s="1010">
        <f>IF(C371&gt;0,COUNT(C$132:C371),"")</f>
        <v>52</v>
      </c>
      <c r="B371" s="946" t="s">
        <v>1635</v>
      </c>
      <c r="C371" s="947">
        <v>3</v>
      </c>
      <c r="D371" s="1002" t="s">
        <v>981</v>
      </c>
      <c r="E371" s="949">
        <f>E345</f>
        <v>14500</v>
      </c>
      <c r="F371" s="950">
        <f>E371*C371</f>
        <v>43500</v>
      </c>
      <c r="U371" s="1003"/>
      <c r="V371" s="1004"/>
      <c r="W371" s="1003"/>
    </row>
    <row r="372" spans="1:23" s="978" customFormat="1" x14ac:dyDescent="0.25">
      <c r="A372" s="1010" t="str">
        <f>IF(C372&gt;0,COUNT(C$132:C372),"")</f>
        <v/>
      </c>
      <c r="B372" s="946"/>
      <c r="C372" s="947"/>
      <c r="D372" s="1002"/>
      <c r="E372" s="949"/>
      <c r="F372" s="950"/>
      <c r="U372" s="1003"/>
      <c r="V372" s="1004"/>
      <c r="W372" s="1003"/>
    </row>
    <row r="373" spans="1:23" s="978" customFormat="1" ht="90" customHeight="1" x14ac:dyDescent="0.25">
      <c r="A373" s="1010">
        <f>IF(C373&gt;0,COUNT(C$132:C373),"")</f>
        <v>53</v>
      </c>
      <c r="B373" s="946" t="s">
        <v>1720</v>
      </c>
      <c r="C373" s="947">
        <f>C371</f>
        <v>3</v>
      </c>
      <c r="D373" s="1002" t="s">
        <v>981</v>
      </c>
      <c r="E373" s="949">
        <f>25500*1.45</f>
        <v>36975</v>
      </c>
      <c r="F373" s="950">
        <f>E373*C373</f>
        <v>110925</v>
      </c>
      <c r="U373" s="1003"/>
      <c r="V373" s="1004"/>
      <c r="W373" s="1003"/>
    </row>
    <row r="374" spans="1:23" x14ac:dyDescent="0.25">
      <c r="A374" s="1010" t="str">
        <f>IF(C374&gt;0,COUNT(C$132:C374),"")</f>
        <v/>
      </c>
      <c r="B374" s="946"/>
      <c r="C374" s="947"/>
      <c r="D374" s="1002"/>
      <c r="E374" s="949"/>
      <c r="F374" s="950"/>
      <c r="S374" s="1046"/>
      <c r="T374" s="1004"/>
      <c r="U374" s="1046"/>
    </row>
    <row r="375" spans="1:23" s="978" customFormat="1" x14ac:dyDescent="0.25">
      <c r="A375" s="1010" t="str">
        <f>IF(C375&gt;0,COUNT(C$132:C375),"")</f>
        <v/>
      </c>
      <c r="B375" s="1021" t="s">
        <v>1636</v>
      </c>
      <c r="C375" s="947"/>
      <c r="D375" s="1002"/>
      <c r="E375" s="949"/>
      <c r="F375" s="1008"/>
      <c r="G375" s="977"/>
      <c r="S375" s="1003"/>
      <c r="T375" s="1004"/>
      <c r="U375" s="1003"/>
    </row>
    <row r="376" spans="1:23" s="978" customFormat="1" x14ac:dyDescent="0.25">
      <c r="A376" s="1010" t="str">
        <f>IF(C376&gt;0,COUNT(C$132:C376),"")</f>
        <v/>
      </c>
      <c r="B376" s="946"/>
      <c r="C376" s="947"/>
      <c r="D376" s="1002"/>
      <c r="E376" s="949"/>
      <c r="F376" s="1008"/>
      <c r="G376" s="977"/>
      <c r="S376" s="1003"/>
      <c r="T376" s="1004"/>
      <c r="U376" s="1003"/>
    </row>
    <row r="377" spans="1:23" s="978" customFormat="1" ht="79.8" customHeight="1" x14ac:dyDescent="0.25">
      <c r="A377" s="1010">
        <f>IF(C377&gt;0,COUNT(C$132:C377),"")</f>
        <v>54</v>
      </c>
      <c r="B377" s="946" t="s">
        <v>1626</v>
      </c>
      <c r="C377" s="947">
        <v>40</v>
      </c>
      <c r="D377" s="1002" t="s">
        <v>981</v>
      </c>
      <c r="E377" s="949">
        <f>E337</f>
        <v>14500</v>
      </c>
      <c r="F377" s="950">
        <f>E377*C377</f>
        <v>580000</v>
      </c>
      <c r="G377" s="977"/>
      <c r="S377" s="1003"/>
      <c r="T377" s="1004"/>
      <c r="U377" s="1003"/>
    </row>
    <row r="378" spans="1:23" s="978" customFormat="1" x14ac:dyDescent="0.25">
      <c r="A378" s="1010" t="str">
        <f>IF(C378&gt;0,COUNT(C$132:C378),"")</f>
        <v/>
      </c>
      <c r="B378" s="946"/>
      <c r="C378" s="947"/>
      <c r="D378" s="1002"/>
      <c r="E378" s="949"/>
      <c r="F378" s="1008"/>
      <c r="G378" s="977"/>
      <c r="S378" s="1003"/>
      <c r="T378" s="1004"/>
      <c r="U378" s="1003"/>
    </row>
    <row r="379" spans="1:23" s="978" customFormat="1" ht="72.599999999999994" customHeight="1" x14ac:dyDescent="0.25">
      <c r="A379" s="1010">
        <f>IF(C379&gt;0,COUNT(C$132:C379),"")</f>
        <v>55</v>
      </c>
      <c r="B379" s="946" t="s">
        <v>1421</v>
      </c>
      <c r="C379" s="947">
        <v>4</v>
      </c>
      <c r="D379" s="1002" t="s">
        <v>981</v>
      </c>
      <c r="E379" s="949">
        <f>E339</f>
        <v>14500</v>
      </c>
      <c r="F379" s="950">
        <f>E379*C379</f>
        <v>58000</v>
      </c>
      <c r="G379" s="977"/>
      <c r="S379" s="1003"/>
      <c r="T379" s="1004"/>
      <c r="U379" s="1003"/>
    </row>
    <row r="380" spans="1:23" x14ac:dyDescent="0.25">
      <c r="A380" s="1010" t="str">
        <f>IF(C380&gt;0,COUNT(C$132:C380),"")</f>
        <v/>
      </c>
      <c r="B380" s="946"/>
      <c r="C380" s="951"/>
      <c r="D380" s="952"/>
      <c r="E380" s="952"/>
      <c r="F380" s="952"/>
      <c r="S380" s="1046"/>
      <c r="T380" s="1004"/>
      <c r="U380" s="1046"/>
    </row>
    <row r="381" spans="1:23" ht="73.2" customHeight="1" x14ac:dyDescent="0.25">
      <c r="A381" s="1010">
        <f>IF(C381&gt;0,COUNT(C$132:C381),"")</f>
        <v>56</v>
      </c>
      <c r="B381" s="946" t="s">
        <v>1637</v>
      </c>
      <c r="C381" s="947">
        <v>43</v>
      </c>
      <c r="D381" s="1002" t="s">
        <v>981</v>
      </c>
      <c r="E381" s="949">
        <f>E343</f>
        <v>14500</v>
      </c>
      <c r="F381" s="950">
        <f>E381*C381</f>
        <v>623500</v>
      </c>
      <c r="S381" s="1046"/>
      <c r="T381" s="1004"/>
      <c r="U381" s="1046"/>
    </row>
    <row r="382" spans="1:23" x14ac:dyDescent="0.25">
      <c r="A382" s="1010" t="str">
        <f>IF(C382&gt;0,COUNT(C$132:C382),"")</f>
        <v/>
      </c>
      <c r="B382" s="946"/>
      <c r="C382" s="947"/>
      <c r="D382" s="1002"/>
      <c r="E382" s="949"/>
      <c r="F382" s="1008"/>
      <c r="S382" s="1046"/>
      <c r="T382" s="1004"/>
      <c r="U382" s="1046"/>
    </row>
    <row r="383" spans="1:23" ht="77.400000000000006" customHeight="1" x14ac:dyDescent="0.25">
      <c r="A383" s="1010">
        <f>IF(C383&gt;0,COUNT(C$132:C383),"")</f>
        <v>57</v>
      </c>
      <c r="B383" s="946" t="s">
        <v>1630</v>
      </c>
      <c r="C383" s="947">
        <v>1</v>
      </c>
      <c r="D383" s="1002" t="s">
        <v>981</v>
      </c>
      <c r="E383" s="949">
        <f>E381</f>
        <v>14500</v>
      </c>
      <c r="F383" s="950">
        <f>E383*C383</f>
        <v>14500</v>
      </c>
      <c r="S383" s="1046"/>
      <c r="T383" s="1004"/>
      <c r="U383" s="1046"/>
    </row>
    <row r="384" spans="1:23" x14ac:dyDescent="0.25">
      <c r="A384" s="1010" t="str">
        <f>IF(C384&gt;0,COUNT(C$132:C384),"")</f>
        <v/>
      </c>
      <c r="B384" s="946"/>
      <c r="C384" s="947"/>
      <c r="D384" s="1002"/>
      <c r="E384" s="949"/>
      <c r="F384" s="950"/>
      <c r="S384" s="1046"/>
      <c r="T384" s="1004"/>
      <c r="U384" s="1046"/>
    </row>
    <row r="385" spans="1:21" ht="50.4" customHeight="1" x14ac:dyDescent="0.25">
      <c r="A385" s="1010" t="str">
        <f>IF(C385&gt;0,COUNT(C$132:C385),"")</f>
        <v/>
      </c>
      <c r="B385" s="946" t="s">
        <v>1638</v>
      </c>
      <c r="C385" s="947"/>
      <c r="D385" s="1002"/>
      <c r="E385" s="949"/>
      <c r="F385" s="950"/>
      <c r="S385" s="1046"/>
      <c r="T385" s="1004"/>
      <c r="U385" s="1046"/>
    </row>
    <row r="386" spans="1:21" x14ac:dyDescent="0.25">
      <c r="A386" s="1010" t="str">
        <f>IF(C386&gt;0,COUNT(C$132:C386),"")</f>
        <v/>
      </c>
      <c r="B386" s="946"/>
      <c r="C386" s="947"/>
      <c r="D386" s="1002"/>
      <c r="E386" s="949"/>
      <c r="F386" s="950"/>
      <c r="S386" s="1046"/>
      <c r="T386" s="1004"/>
      <c r="U386" s="1046"/>
    </row>
    <row r="387" spans="1:21" ht="41.4" x14ac:dyDescent="0.25">
      <c r="A387" s="1010" t="str">
        <f>IF(C387&gt;0,COUNT(C$132:C387),"")</f>
        <v/>
      </c>
      <c r="B387" s="946" t="s">
        <v>1639</v>
      </c>
      <c r="C387" s="947"/>
      <c r="D387" s="1002"/>
      <c r="E387" s="949"/>
      <c r="F387" s="950"/>
      <c r="S387" s="1046"/>
      <c r="T387" s="1004"/>
      <c r="U387" s="1046"/>
    </row>
    <row r="388" spans="1:21" x14ac:dyDescent="0.25">
      <c r="A388" s="1010" t="str">
        <f>IF(C388&gt;0,COUNT(C$132:C388),"")</f>
        <v/>
      </c>
      <c r="B388" s="946"/>
      <c r="C388" s="947"/>
      <c r="D388" s="1002"/>
      <c r="E388" s="949"/>
      <c r="F388" s="950"/>
      <c r="S388" s="1046"/>
      <c r="T388" s="1004"/>
      <c r="U388" s="1046"/>
    </row>
    <row r="389" spans="1:21" ht="41.4" x14ac:dyDescent="0.25">
      <c r="A389" s="1010" t="str">
        <f>IF(C389&gt;0,COUNT(C$132:C389),"")</f>
        <v/>
      </c>
      <c r="B389" s="946" t="s">
        <v>1640</v>
      </c>
      <c r="C389" s="947"/>
      <c r="D389" s="1002"/>
      <c r="E389" s="949"/>
      <c r="F389" s="950"/>
      <c r="S389" s="1046"/>
      <c r="T389" s="1004"/>
      <c r="U389" s="1046"/>
    </row>
    <row r="390" spans="1:21" x14ac:dyDescent="0.25">
      <c r="A390" s="1010"/>
      <c r="B390" s="946"/>
      <c r="C390" s="947"/>
      <c r="D390" s="1002"/>
      <c r="E390" s="949"/>
      <c r="F390" s="950"/>
      <c r="S390" s="1046"/>
      <c r="T390" s="1004"/>
      <c r="U390" s="1046"/>
    </row>
    <row r="391" spans="1:21" x14ac:dyDescent="0.25">
      <c r="A391" s="1010"/>
      <c r="B391" s="326" t="s">
        <v>915</v>
      </c>
      <c r="C391" s="1097"/>
      <c r="D391" s="1098"/>
      <c r="E391" s="1099"/>
      <c r="F391" s="1098"/>
      <c r="S391" s="1046"/>
      <c r="T391" s="1004"/>
      <c r="U391" s="1046"/>
    </row>
    <row r="392" spans="1:21" ht="41.4" x14ac:dyDescent="0.25">
      <c r="A392" s="1010"/>
      <c r="B392" s="946" t="s">
        <v>1422</v>
      </c>
      <c r="C392" s="1097">
        <v>47</v>
      </c>
      <c r="D392" s="948" t="s">
        <v>981</v>
      </c>
      <c r="E392" s="949">
        <v>1850</v>
      </c>
      <c r="F392" s="950">
        <f>E392*C392</f>
        <v>86950</v>
      </c>
      <c r="S392" s="1046"/>
      <c r="T392" s="1004"/>
      <c r="U392" s="1046"/>
    </row>
    <row r="393" spans="1:21" x14ac:dyDescent="0.25">
      <c r="A393" s="1010"/>
      <c r="B393" s="326"/>
      <c r="C393" s="1097"/>
      <c r="D393" s="1098"/>
      <c r="E393" s="1099"/>
      <c r="F393" s="1098"/>
      <c r="S393" s="1046"/>
      <c r="T393" s="1004"/>
      <c r="U393" s="1046"/>
    </row>
    <row r="394" spans="1:21" ht="27.6" x14ac:dyDescent="0.25">
      <c r="A394" s="1396"/>
      <c r="B394" s="1410" t="s">
        <v>1428</v>
      </c>
      <c r="C394" s="1411">
        <v>1</v>
      </c>
      <c r="D394" s="955" t="s">
        <v>78</v>
      </c>
      <c r="E394" s="1412">
        <f>(150000+8500)*1.45</f>
        <v>229825</v>
      </c>
      <c r="F394" s="955">
        <f>E394*C394</f>
        <v>229825</v>
      </c>
      <c r="S394" s="1046"/>
      <c r="T394" s="1004"/>
      <c r="U394" s="1046"/>
    </row>
    <row r="395" spans="1:21" ht="35.4" customHeight="1" x14ac:dyDescent="0.25">
      <c r="A395" s="1398"/>
      <c r="B395" s="915" t="s">
        <v>1424</v>
      </c>
      <c r="C395" s="811">
        <v>42</v>
      </c>
      <c r="D395" s="629" t="s">
        <v>168</v>
      </c>
      <c r="E395" s="945">
        <f>(5000)*1.45</f>
        <v>7250</v>
      </c>
      <c r="F395" s="629">
        <f>E395*C395</f>
        <v>304500</v>
      </c>
      <c r="S395" s="1046"/>
      <c r="T395" s="1004"/>
      <c r="U395" s="1046"/>
    </row>
    <row r="396" spans="1:21" x14ac:dyDescent="0.25">
      <c r="A396" s="1010"/>
      <c r="B396" s="326"/>
      <c r="C396" s="1097"/>
      <c r="D396" s="1098"/>
      <c r="E396" s="1099"/>
      <c r="F396" s="1098"/>
      <c r="S396" s="1046"/>
      <c r="T396" s="1004"/>
      <c r="U396" s="1046"/>
    </row>
    <row r="397" spans="1:21" ht="27.6" x14ac:dyDescent="0.25">
      <c r="A397" s="1010"/>
      <c r="B397" s="303" t="s">
        <v>1419</v>
      </c>
      <c r="C397" s="1097">
        <v>2</v>
      </c>
      <c r="D397" s="1098" t="s">
        <v>78</v>
      </c>
      <c r="E397" s="1099">
        <f>(5000)*1.45</f>
        <v>7250</v>
      </c>
      <c r="F397" s="1098">
        <f>E397*C397</f>
        <v>14500</v>
      </c>
      <c r="S397" s="1046"/>
      <c r="T397" s="1004"/>
      <c r="U397" s="1046"/>
    </row>
    <row r="398" spans="1:21" x14ac:dyDescent="0.25">
      <c r="A398" s="1010"/>
      <c r="B398" s="326"/>
      <c r="C398" s="1097"/>
      <c r="D398" s="1098"/>
      <c r="E398" s="1099"/>
      <c r="F398" s="1098"/>
      <c r="S398" s="1046"/>
      <c r="T398" s="1004"/>
      <c r="U398" s="1046"/>
    </row>
    <row r="399" spans="1:21" x14ac:dyDescent="0.25">
      <c r="A399" s="1010"/>
      <c r="B399" s="303" t="s">
        <v>1420</v>
      </c>
      <c r="C399" s="1097">
        <v>1</v>
      </c>
      <c r="D399" s="1098" t="s">
        <v>78</v>
      </c>
      <c r="E399" s="1099">
        <f>(2500)*1.45</f>
        <v>3625</v>
      </c>
      <c r="F399" s="1098">
        <f>E399*C399</f>
        <v>3625</v>
      </c>
      <c r="S399" s="1046"/>
      <c r="T399" s="1004"/>
      <c r="U399" s="1046"/>
    </row>
    <row r="400" spans="1:21" x14ac:dyDescent="0.25">
      <c r="A400" s="1010"/>
      <c r="B400" s="946"/>
      <c r="C400" s="947"/>
      <c r="D400" s="1002"/>
      <c r="E400" s="949"/>
      <c r="F400" s="950"/>
      <c r="S400" s="1046"/>
      <c r="T400" s="1004"/>
      <c r="U400" s="1046"/>
    </row>
    <row r="401" spans="1:21" s="978" customFormat="1" x14ac:dyDescent="0.25">
      <c r="A401" s="1010" t="str">
        <f>IF(C401&gt;0,COUNT(C$132:C401),"")</f>
        <v/>
      </c>
      <c r="B401" s="1021" t="s">
        <v>1641</v>
      </c>
      <c r="C401" s="947"/>
      <c r="D401" s="1002"/>
      <c r="E401" s="949"/>
      <c r="F401" s="1008"/>
      <c r="G401" s="977"/>
      <c r="S401" s="1003"/>
      <c r="T401" s="1004"/>
      <c r="U401" s="1003"/>
    </row>
    <row r="402" spans="1:21" s="978" customFormat="1" x14ac:dyDescent="0.25">
      <c r="A402" s="1010" t="str">
        <f>IF(C402&gt;0,COUNT(C$132:C402),"")</f>
        <v/>
      </c>
      <c r="B402" s="946"/>
      <c r="C402" s="947"/>
      <c r="D402" s="1002"/>
      <c r="E402" s="949"/>
      <c r="F402" s="1008"/>
      <c r="G402" s="977"/>
      <c r="S402" s="1003"/>
      <c r="T402" s="1004"/>
      <c r="U402" s="1003"/>
    </row>
    <row r="403" spans="1:21" s="978" customFormat="1" ht="76.2" customHeight="1" x14ac:dyDescent="0.25">
      <c r="A403" s="1010">
        <f>IF(C403&gt;0,COUNT(C$132:C403),"")</f>
        <v>63</v>
      </c>
      <c r="B403" s="946" t="s">
        <v>1421</v>
      </c>
      <c r="C403" s="947">
        <v>22</v>
      </c>
      <c r="D403" s="1002" t="s">
        <v>981</v>
      </c>
      <c r="E403" s="949">
        <f>E379</f>
        <v>14500</v>
      </c>
      <c r="F403" s="950">
        <f>E403*C403</f>
        <v>319000</v>
      </c>
      <c r="G403" s="977"/>
      <c r="S403" s="1003"/>
      <c r="T403" s="1004"/>
      <c r="U403" s="1003"/>
    </row>
    <row r="404" spans="1:21" x14ac:dyDescent="0.25">
      <c r="A404" s="1010" t="str">
        <f>IF(C404&gt;0,COUNT(C$132:C404),"")</f>
        <v/>
      </c>
      <c r="B404" s="946"/>
      <c r="C404" s="947"/>
      <c r="D404" s="1002"/>
      <c r="E404" s="949"/>
      <c r="F404" s="950"/>
      <c r="S404" s="1046"/>
      <c r="T404" s="1004"/>
      <c r="U404" s="1046"/>
    </row>
    <row r="405" spans="1:21" s="978" customFormat="1" x14ac:dyDescent="0.25">
      <c r="A405" s="1010" t="str">
        <f>IF(C405&gt;0,COUNT(C$132:C405),"")</f>
        <v/>
      </c>
      <c r="B405" s="1021" t="s">
        <v>1642</v>
      </c>
      <c r="C405" s="947"/>
      <c r="D405" s="1002"/>
      <c r="E405" s="949"/>
      <c r="F405" s="1008"/>
      <c r="G405" s="977"/>
      <c r="S405" s="1003"/>
      <c r="T405" s="1004"/>
      <c r="U405" s="1003"/>
    </row>
    <row r="406" spans="1:21" s="978" customFormat="1" x14ac:dyDescent="0.25">
      <c r="A406" s="1010" t="str">
        <f>IF(C406&gt;0,COUNT(C$132:C406),"")</f>
        <v/>
      </c>
      <c r="B406" s="946"/>
      <c r="C406" s="947"/>
      <c r="D406" s="1002"/>
      <c r="E406" s="949"/>
      <c r="F406" s="1008"/>
      <c r="G406" s="977"/>
      <c r="S406" s="1003"/>
      <c r="T406" s="1004"/>
      <c r="U406" s="1003"/>
    </row>
    <row r="407" spans="1:21" s="978" customFormat="1" ht="74.400000000000006" customHeight="1" x14ac:dyDescent="0.25">
      <c r="A407" s="1010">
        <f>IF(C407&gt;0,COUNT(C$132:C407),"")</f>
        <v>64</v>
      </c>
      <c r="B407" s="946" t="s">
        <v>1626</v>
      </c>
      <c r="C407" s="947">
        <v>33</v>
      </c>
      <c r="D407" s="1002" t="s">
        <v>981</v>
      </c>
      <c r="E407" s="949">
        <f>E403</f>
        <v>14500</v>
      </c>
      <c r="F407" s="950">
        <f>E407*C407</f>
        <v>478500</v>
      </c>
      <c r="G407" s="977"/>
      <c r="S407" s="1003"/>
      <c r="T407" s="1004"/>
      <c r="U407" s="1003"/>
    </row>
    <row r="408" spans="1:21" s="978" customFormat="1" x14ac:dyDescent="0.25">
      <c r="A408" s="1010" t="str">
        <f>IF(C408&gt;0,COUNT(C$132:C408),"")</f>
        <v/>
      </c>
      <c r="B408" s="946"/>
      <c r="C408" s="947"/>
      <c r="D408" s="1002"/>
      <c r="E408" s="949"/>
      <c r="F408" s="1008"/>
      <c r="G408" s="977"/>
      <c r="S408" s="1003"/>
      <c r="T408" s="1004"/>
      <c r="U408" s="1003"/>
    </row>
    <row r="409" spans="1:21" s="978" customFormat="1" ht="76.8" customHeight="1" x14ac:dyDescent="0.25">
      <c r="A409" s="1010">
        <f>IF(C409&gt;0,COUNT(C$132:C409),"")</f>
        <v>65</v>
      </c>
      <c r="B409" s="946" t="s">
        <v>1421</v>
      </c>
      <c r="C409" s="947">
        <v>6</v>
      </c>
      <c r="D409" s="1002" t="s">
        <v>981</v>
      </c>
      <c r="E409" s="949">
        <f>E407</f>
        <v>14500</v>
      </c>
      <c r="F409" s="950">
        <f>E409*C409</f>
        <v>87000</v>
      </c>
      <c r="G409" s="977"/>
      <c r="S409" s="1003"/>
      <c r="T409" s="1004"/>
      <c r="U409" s="1003"/>
    </row>
    <row r="410" spans="1:21" x14ac:dyDescent="0.25">
      <c r="A410" s="1010" t="str">
        <f>IF(C410&gt;0,COUNT(C$132:C410),"")</f>
        <v/>
      </c>
      <c r="B410" s="946"/>
      <c r="C410" s="951"/>
      <c r="D410" s="952"/>
      <c r="E410" s="952"/>
      <c r="F410" s="952"/>
      <c r="S410" s="1046"/>
      <c r="T410" s="1004"/>
      <c r="U410" s="1046"/>
    </row>
    <row r="411" spans="1:21" ht="72.599999999999994" customHeight="1" x14ac:dyDescent="0.25">
      <c r="A411" s="1010">
        <f>IF(C411&gt;0,COUNT(C$132:C411),"")</f>
        <v>66</v>
      </c>
      <c r="B411" s="946" t="s">
        <v>1643</v>
      </c>
      <c r="C411" s="947">
        <v>21</v>
      </c>
      <c r="D411" s="1002" t="s">
        <v>981</v>
      </c>
      <c r="E411" s="949">
        <f>E381</f>
        <v>14500</v>
      </c>
      <c r="F411" s="950">
        <f>E411*C411</f>
        <v>304500</v>
      </c>
      <c r="S411" s="1046"/>
      <c r="T411" s="1004"/>
      <c r="U411" s="1046"/>
    </row>
    <row r="412" spans="1:21" x14ac:dyDescent="0.25">
      <c r="A412" s="1010" t="str">
        <f>IF(C412&gt;0,COUNT(C$132:C412),"")</f>
        <v/>
      </c>
      <c r="B412" s="946"/>
      <c r="C412" s="947"/>
      <c r="D412" s="1002"/>
      <c r="E412" s="949"/>
      <c r="F412" s="1008"/>
      <c r="S412" s="1046"/>
      <c r="T412" s="1004"/>
      <c r="U412" s="1046"/>
    </row>
    <row r="413" spans="1:21" ht="76.2" customHeight="1" x14ac:dyDescent="0.25">
      <c r="A413" s="1010">
        <f>IF(C413&gt;0,COUNT(C$132:C413),"")</f>
        <v>67</v>
      </c>
      <c r="B413" s="946" t="s">
        <v>1644</v>
      </c>
      <c r="C413" s="947">
        <v>1</v>
      </c>
      <c r="D413" s="1002" t="s">
        <v>981</v>
      </c>
      <c r="E413" s="949">
        <f>E383</f>
        <v>14500</v>
      </c>
      <c r="F413" s="950">
        <f>E413*C413</f>
        <v>14500</v>
      </c>
      <c r="S413" s="1046"/>
      <c r="T413" s="1004"/>
      <c r="U413" s="1046"/>
    </row>
    <row r="414" spans="1:21" x14ac:dyDescent="0.25">
      <c r="A414" s="1010" t="str">
        <f>IF(C414&gt;0,COUNT(C$132:C414),"")</f>
        <v/>
      </c>
      <c r="B414" s="946"/>
      <c r="C414" s="951"/>
      <c r="D414" s="952"/>
      <c r="E414" s="952"/>
      <c r="F414" s="952"/>
      <c r="S414" s="1046"/>
      <c r="T414" s="1004"/>
      <c r="U414" s="1046"/>
    </row>
    <row r="415" spans="1:21" ht="76.2" customHeight="1" x14ac:dyDescent="0.25">
      <c r="A415" s="1010">
        <f>IF(C415&gt;0,COUNT(C$132:C415),"")</f>
        <v>68</v>
      </c>
      <c r="B415" s="946" t="s">
        <v>1645</v>
      </c>
      <c r="C415" s="947">
        <v>16</v>
      </c>
      <c r="D415" s="1002" t="s">
        <v>981</v>
      </c>
      <c r="E415" s="949">
        <f>E413</f>
        <v>14500</v>
      </c>
      <c r="F415" s="950">
        <f>E415*C415</f>
        <v>232000</v>
      </c>
      <c r="S415" s="1046"/>
      <c r="T415" s="1004"/>
      <c r="U415" s="1046"/>
    </row>
    <row r="416" spans="1:21" x14ac:dyDescent="0.25">
      <c r="A416" s="1010" t="str">
        <f>IF(C416&gt;0,COUNT(C$132:C416),"")</f>
        <v/>
      </c>
      <c r="B416" s="946"/>
      <c r="C416" s="947"/>
      <c r="D416" s="1002"/>
      <c r="E416" s="949"/>
      <c r="F416" s="950"/>
      <c r="S416" s="1046"/>
      <c r="T416" s="1004"/>
      <c r="U416" s="1046"/>
    </row>
    <row r="417" spans="1:21" ht="46.8" customHeight="1" x14ac:dyDescent="0.25">
      <c r="A417" s="1010">
        <f>IF(C417&gt;0,COUNT(C$132:C417),"")</f>
        <v>69</v>
      </c>
      <c r="B417" s="946" t="s">
        <v>1646</v>
      </c>
      <c r="C417" s="947">
        <f>C411+C413+C415</f>
        <v>38</v>
      </c>
      <c r="D417" s="1002" t="s">
        <v>981</v>
      </c>
      <c r="E417" s="949">
        <v>1850</v>
      </c>
      <c r="F417" s="950">
        <f>E417*C417</f>
        <v>70300</v>
      </c>
      <c r="S417" s="1046"/>
      <c r="T417" s="1004"/>
      <c r="U417" s="1046"/>
    </row>
    <row r="418" spans="1:21" x14ac:dyDescent="0.25">
      <c r="A418" s="1010" t="str">
        <f>IF(C418&gt;0,COUNT(C$132:C418),"")</f>
        <v/>
      </c>
      <c r="B418" s="946"/>
      <c r="C418" s="947"/>
      <c r="D418" s="1002"/>
      <c r="E418" s="949"/>
      <c r="F418" s="950"/>
      <c r="S418" s="1046"/>
      <c r="T418" s="1004"/>
      <c r="U418" s="1046"/>
    </row>
    <row r="419" spans="1:21" ht="60" customHeight="1" x14ac:dyDescent="0.25">
      <c r="A419" s="1010" t="str">
        <f>IF(C419&gt;0,COUNT(C$132:C419),"")</f>
        <v/>
      </c>
      <c r="B419" s="946" t="s">
        <v>1647</v>
      </c>
      <c r="C419" s="947"/>
      <c r="D419" s="1002"/>
      <c r="E419" s="949"/>
      <c r="F419" s="950">
        <f>E419*C419</f>
        <v>0</v>
      </c>
      <c r="S419" s="1046"/>
      <c r="T419" s="1004"/>
      <c r="U419" s="1046"/>
    </row>
    <row r="420" spans="1:21" x14ac:dyDescent="0.25">
      <c r="A420" s="1010"/>
      <c r="B420" s="946"/>
      <c r="C420" s="947"/>
      <c r="D420" s="1002"/>
      <c r="E420" s="949"/>
      <c r="F420" s="950"/>
      <c r="S420" s="1046"/>
      <c r="T420" s="1004"/>
      <c r="U420" s="1046"/>
    </row>
    <row r="421" spans="1:21" ht="46.2" customHeight="1" x14ac:dyDescent="0.25">
      <c r="A421" s="1010" t="str">
        <f>IF(C421&gt;0,COUNT(C$132:C421),"")</f>
        <v/>
      </c>
      <c r="B421" s="1018" t="s">
        <v>1648</v>
      </c>
      <c r="C421" s="947"/>
      <c r="D421" s="1002"/>
      <c r="E421" s="949"/>
      <c r="F421" s="950"/>
      <c r="S421" s="1046"/>
      <c r="T421" s="1004"/>
      <c r="U421" s="1046"/>
    </row>
    <row r="422" spans="1:21" x14ac:dyDescent="0.25">
      <c r="A422" s="1010"/>
      <c r="B422" s="946"/>
      <c r="C422" s="947"/>
      <c r="D422" s="1002"/>
      <c r="E422" s="949"/>
      <c r="F422" s="950"/>
      <c r="S422" s="1046"/>
      <c r="T422" s="1004"/>
      <c r="U422" s="1046"/>
    </row>
    <row r="423" spans="1:21" ht="46.8" customHeight="1" x14ac:dyDescent="0.25">
      <c r="A423" s="1010" t="str">
        <f>IF(C423&gt;0,COUNT(C$132:C423),"")</f>
        <v/>
      </c>
      <c r="B423" s="946" t="s">
        <v>1649</v>
      </c>
      <c r="C423" s="947"/>
      <c r="D423" s="1002"/>
      <c r="E423" s="949"/>
      <c r="F423" s="950"/>
      <c r="S423" s="1046"/>
      <c r="T423" s="1004"/>
      <c r="U423" s="1046"/>
    </row>
    <row r="424" spans="1:21" x14ac:dyDescent="0.25">
      <c r="A424" s="1396"/>
      <c r="B424" s="956"/>
      <c r="C424" s="1386"/>
      <c r="D424" s="1387"/>
      <c r="E424" s="1320"/>
      <c r="F424" s="1321"/>
      <c r="S424" s="1046"/>
      <c r="T424" s="1004"/>
      <c r="U424" s="1046"/>
    </row>
    <row r="425" spans="1:21" ht="45" customHeight="1" x14ac:dyDescent="0.25">
      <c r="A425" s="1398" t="str">
        <f>IF(C425&gt;0,COUNT(C$132:C425),"")</f>
        <v/>
      </c>
      <c r="B425" s="1404" t="s">
        <v>1650</v>
      </c>
      <c r="C425" s="1390"/>
      <c r="D425" s="1391"/>
      <c r="E425" s="1382"/>
      <c r="F425" s="1383">
        <f>E425*C425</f>
        <v>0</v>
      </c>
      <c r="S425" s="1046"/>
      <c r="T425" s="1004"/>
      <c r="U425" s="1046"/>
    </row>
    <row r="426" spans="1:21" x14ac:dyDescent="0.25">
      <c r="A426" s="1010"/>
      <c r="B426" s="946"/>
      <c r="C426" s="947"/>
      <c r="D426" s="1002"/>
      <c r="E426" s="949"/>
      <c r="F426" s="950"/>
      <c r="S426" s="1046"/>
      <c r="T426" s="1004"/>
      <c r="U426" s="1046"/>
    </row>
    <row r="427" spans="1:21" x14ac:dyDescent="0.25">
      <c r="A427" s="1010"/>
      <c r="B427" s="326" t="s">
        <v>915</v>
      </c>
      <c r="C427" s="1097"/>
      <c r="D427" s="1098"/>
      <c r="E427" s="1099"/>
      <c r="F427" s="1098"/>
      <c r="S427" s="1046"/>
      <c r="T427" s="1004"/>
      <c r="U427" s="1046"/>
    </row>
    <row r="428" spans="1:21" ht="48" customHeight="1" x14ac:dyDescent="0.25">
      <c r="A428" s="1010"/>
      <c r="B428" s="946" t="s">
        <v>1417</v>
      </c>
      <c r="C428" s="1097">
        <v>62</v>
      </c>
      <c r="D428" s="948" t="s">
        <v>981</v>
      </c>
      <c r="E428" s="949">
        <v>1950</v>
      </c>
      <c r="F428" s="950">
        <f>E428*C428</f>
        <v>120900</v>
      </c>
      <c r="S428" s="1046"/>
      <c r="T428" s="1004"/>
      <c r="U428" s="1046"/>
    </row>
    <row r="429" spans="1:21" x14ac:dyDescent="0.25">
      <c r="A429" s="1010"/>
      <c r="B429" s="303"/>
      <c r="C429" s="1097"/>
      <c r="D429" s="1098"/>
      <c r="E429" s="1099"/>
      <c r="F429" s="1098"/>
      <c r="S429" s="1046"/>
      <c r="T429" s="1004"/>
      <c r="U429" s="1046"/>
    </row>
    <row r="430" spans="1:21" ht="27.6" x14ac:dyDescent="0.25">
      <c r="A430" s="1010"/>
      <c r="B430" s="303" t="s">
        <v>1424</v>
      </c>
      <c r="C430" s="1097">
        <v>16</v>
      </c>
      <c r="D430" s="1098" t="s">
        <v>168</v>
      </c>
      <c r="E430" s="1099">
        <f>(5000)*1.45</f>
        <v>7250</v>
      </c>
      <c r="F430" s="1098">
        <f>E430*C430</f>
        <v>116000</v>
      </c>
      <c r="S430" s="1046"/>
      <c r="T430" s="1004"/>
      <c r="U430" s="1046"/>
    </row>
    <row r="431" spans="1:21" x14ac:dyDescent="0.25">
      <c r="A431" s="1010"/>
      <c r="B431" s="326"/>
      <c r="C431" s="1097"/>
      <c r="D431" s="1098"/>
      <c r="E431" s="1099"/>
      <c r="F431" s="1098"/>
      <c r="S431" s="1046"/>
      <c r="T431" s="1004"/>
      <c r="U431" s="1046"/>
    </row>
    <row r="432" spans="1:21" ht="27.6" x14ac:dyDescent="0.25">
      <c r="A432" s="1010"/>
      <c r="B432" s="303" t="s">
        <v>1419</v>
      </c>
      <c r="C432" s="1097">
        <v>1</v>
      </c>
      <c r="D432" s="1098" t="s">
        <v>78</v>
      </c>
      <c r="E432" s="1099">
        <f>(5000)*1.45</f>
        <v>7250</v>
      </c>
      <c r="F432" s="1098">
        <f>E432*C432</f>
        <v>7250</v>
      </c>
      <c r="S432" s="1046"/>
      <c r="T432" s="1004"/>
      <c r="U432" s="1046"/>
    </row>
    <row r="433" spans="1:23" x14ac:dyDescent="0.25">
      <c r="A433" s="1010"/>
      <c r="B433" s="326"/>
      <c r="C433" s="1097"/>
      <c r="D433" s="1098"/>
      <c r="E433" s="1099"/>
      <c r="F433" s="1098"/>
      <c r="S433" s="1046"/>
      <c r="T433" s="1004"/>
      <c r="U433" s="1046"/>
    </row>
    <row r="434" spans="1:23" x14ac:dyDescent="0.25">
      <c r="A434" s="1010"/>
      <c r="B434" s="303" t="s">
        <v>1426</v>
      </c>
      <c r="C434" s="1097">
        <v>40</v>
      </c>
      <c r="D434" s="1098" t="s">
        <v>78</v>
      </c>
      <c r="E434" s="1099">
        <f>(5500)*1.45</f>
        <v>7975</v>
      </c>
      <c r="F434" s="1098">
        <f>E434*C434</f>
        <v>319000</v>
      </c>
      <c r="S434" s="1046"/>
      <c r="T434" s="1004"/>
      <c r="U434" s="1046"/>
    </row>
    <row r="435" spans="1:23" x14ac:dyDescent="0.25">
      <c r="A435" s="1010" t="str">
        <f>IF(C435&gt;0,COUNT(C$132:C435),"")</f>
        <v/>
      </c>
      <c r="B435" s="946"/>
      <c r="C435" s="947"/>
      <c r="D435" s="1002"/>
      <c r="E435" s="949"/>
      <c r="F435" s="950"/>
      <c r="S435" s="1046"/>
      <c r="T435" s="1004"/>
      <c r="U435" s="1046"/>
    </row>
    <row r="436" spans="1:23" s="978" customFormat="1" x14ac:dyDescent="0.25">
      <c r="A436" s="1010" t="str">
        <f>IF(C436&gt;0,COUNT(C$132:C436),"")</f>
        <v/>
      </c>
      <c r="B436" s="1021" t="s">
        <v>1651</v>
      </c>
      <c r="C436" s="947"/>
      <c r="D436" s="1002"/>
      <c r="E436" s="949"/>
      <c r="F436" s="1008"/>
      <c r="G436" s="977"/>
      <c r="S436" s="1003"/>
      <c r="T436" s="1004"/>
      <c r="U436" s="1003"/>
    </row>
    <row r="437" spans="1:23" s="978" customFormat="1" x14ac:dyDescent="0.25">
      <c r="A437" s="1010" t="str">
        <f>IF(C437&gt;0,COUNT(C$132:C437),"")</f>
        <v/>
      </c>
      <c r="B437" s="946"/>
      <c r="C437" s="947"/>
      <c r="D437" s="1002"/>
      <c r="E437" s="949"/>
      <c r="F437" s="1008"/>
      <c r="G437" s="977"/>
      <c r="S437" s="1003"/>
      <c r="T437" s="1004"/>
      <c r="U437" s="1003"/>
    </row>
    <row r="438" spans="1:23" s="978" customFormat="1" ht="76.2" customHeight="1" x14ac:dyDescent="0.25">
      <c r="A438" s="1010">
        <f>IF(C438&gt;0,COUNT(C$132:C438),"")</f>
        <v>74</v>
      </c>
      <c r="B438" s="946" t="s">
        <v>1421</v>
      </c>
      <c r="C438" s="947">
        <v>20</v>
      </c>
      <c r="D438" s="1002" t="s">
        <v>981</v>
      </c>
      <c r="E438" s="949">
        <f>E409</f>
        <v>14500</v>
      </c>
      <c r="F438" s="950">
        <f>E438*C438</f>
        <v>290000</v>
      </c>
      <c r="G438" s="977"/>
      <c r="S438" s="1003"/>
      <c r="T438" s="1004"/>
      <c r="U438" s="1003"/>
    </row>
    <row r="439" spans="1:23" s="978" customFormat="1" x14ac:dyDescent="0.25">
      <c r="A439" s="1010" t="str">
        <f>IF(C439&gt;0,COUNT(C$132:C439),"")</f>
        <v/>
      </c>
      <c r="B439" s="946"/>
      <c r="C439" s="947"/>
      <c r="D439" s="1002"/>
      <c r="E439" s="949"/>
      <c r="F439" s="1008"/>
      <c r="U439" s="1003"/>
      <c r="V439" s="1004"/>
      <c r="W439" s="1003"/>
    </row>
    <row r="440" spans="1:23" s="978" customFormat="1" x14ac:dyDescent="0.25">
      <c r="A440" s="1010" t="str">
        <f>IF(C440&gt;0,COUNT(C$132:C440),"")</f>
        <v/>
      </c>
      <c r="B440" s="1021" t="s">
        <v>1652</v>
      </c>
      <c r="C440" s="947"/>
      <c r="D440" s="1002"/>
      <c r="E440" s="949"/>
      <c r="F440" s="1008"/>
      <c r="G440" s="977"/>
      <c r="S440" s="1003"/>
      <c r="T440" s="1004"/>
      <c r="U440" s="1003"/>
    </row>
    <row r="441" spans="1:23" s="978" customFormat="1" x14ac:dyDescent="0.25">
      <c r="A441" s="1010" t="str">
        <f>IF(C441&gt;0,COUNT(C$132:C441),"")</f>
        <v/>
      </c>
      <c r="B441" s="946"/>
      <c r="C441" s="947"/>
      <c r="D441" s="1002"/>
      <c r="E441" s="949"/>
      <c r="F441" s="1008"/>
      <c r="G441" s="977"/>
      <c r="S441" s="1003"/>
      <c r="T441" s="1004"/>
      <c r="U441" s="1003"/>
    </row>
    <row r="442" spans="1:23" s="978" customFormat="1" ht="78" customHeight="1" x14ac:dyDescent="0.25">
      <c r="A442" s="1010">
        <f>IF(C442&gt;0,COUNT(C$132:C442),"")</f>
        <v>75</v>
      </c>
      <c r="B442" s="946" t="s">
        <v>1626</v>
      </c>
      <c r="C442" s="947">
        <v>36</v>
      </c>
      <c r="D442" s="1002" t="s">
        <v>981</v>
      </c>
      <c r="E442" s="949">
        <f>E438</f>
        <v>14500</v>
      </c>
      <c r="F442" s="950">
        <f>E442*C442</f>
        <v>522000</v>
      </c>
      <c r="G442" s="977"/>
      <c r="S442" s="1003"/>
      <c r="T442" s="1004"/>
      <c r="U442" s="1003"/>
    </row>
    <row r="443" spans="1:23" s="978" customFormat="1" x14ac:dyDescent="0.25">
      <c r="A443" s="1010" t="str">
        <f>IF(C443&gt;0,COUNT(C$132:C443),"")</f>
        <v/>
      </c>
      <c r="B443" s="946"/>
      <c r="C443" s="947"/>
      <c r="D443" s="1002"/>
      <c r="E443" s="949"/>
      <c r="F443" s="1008"/>
      <c r="G443" s="977"/>
      <c r="S443" s="1003"/>
      <c r="T443" s="1004"/>
      <c r="U443" s="1003"/>
    </row>
    <row r="444" spans="1:23" s="978" customFormat="1" ht="76.2" customHeight="1" x14ac:dyDescent="0.25">
      <c r="A444" s="1010">
        <f>IF(C444&gt;0,COUNT(C$132:C444),"")</f>
        <v>76</v>
      </c>
      <c r="B444" s="946" t="s">
        <v>1421</v>
      </c>
      <c r="C444" s="947">
        <v>8</v>
      </c>
      <c r="D444" s="1002" t="s">
        <v>981</v>
      </c>
      <c r="E444" s="949">
        <f>E442</f>
        <v>14500</v>
      </c>
      <c r="F444" s="950">
        <f>E444*C444</f>
        <v>116000</v>
      </c>
      <c r="G444" s="977"/>
      <c r="S444" s="1003"/>
      <c r="T444" s="1004"/>
      <c r="U444" s="1003"/>
    </row>
    <row r="445" spans="1:23" x14ac:dyDescent="0.25">
      <c r="A445" s="1010" t="str">
        <f>IF(C445&gt;0,COUNT(C$132:C445),"")</f>
        <v/>
      </c>
      <c r="B445" s="946"/>
      <c r="C445" s="951"/>
      <c r="D445" s="952"/>
      <c r="E445" s="952"/>
      <c r="F445" s="952"/>
      <c r="S445" s="1046"/>
      <c r="T445" s="1004"/>
      <c r="U445" s="1046"/>
    </row>
    <row r="446" spans="1:23" ht="80.400000000000006" customHeight="1" x14ac:dyDescent="0.25">
      <c r="A446" s="1010">
        <f>IF(C446&gt;0,COUNT(C$132:C446),"")</f>
        <v>77</v>
      </c>
      <c r="B446" s="946" t="s">
        <v>1637</v>
      </c>
      <c r="C446" s="947">
        <v>52</v>
      </c>
      <c r="D446" s="1002" t="s">
        <v>981</v>
      </c>
      <c r="E446" s="949">
        <f>E411</f>
        <v>14500</v>
      </c>
      <c r="F446" s="950">
        <f>E446*C446</f>
        <v>754000</v>
      </c>
      <c r="S446" s="1046"/>
      <c r="T446" s="1004"/>
      <c r="U446" s="1046"/>
    </row>
    <row r="447" spans="1:23" x14ac:dyDescent="0.25">
      <c r="A447" s="1010" t="str">
        <f>IF(C447&gt;0,COUNT(C$132:C447),"")</f>
        <v/>
      </c>
      <c r="B447" s="946"/>
      <c r="C447" s="947"/>
      <c r="D447" s="1002"/>
      <c r="E447" s="949"/>
      <c r="F447" s="1008"/>
      <c r="S447" s="1046"/>
      <c r="T447" s="1004"/>
      <c r="U447" s="1046"/>
    </row>
    <row r="448" spans="1:23" ht="75.599999999999994" customHeight="1" x14ac:dyDescent="0.25">
      <c r="A448" s="1010">
        <f>IF(C448&gt;0,COUNT(C$132:C448),"")</f>
        <v>78</v>
      </c>
      <c r="B448" s="946" t="s">
        <v>1644</v>
      </c>
      <c r="C448" s="947">
        <v>1</v>
      </c>
      <c r="D448" s="1002" t="s">
        <v>981</v>
      </c>
      <c r="E448" s="1587">
        <f>E413</f>
        <v>14500</v>
      </c>
      <c r="F448" s="950">
        <f>E448*C448</f>
        <v>14500</v>
      </c>
      <c r="S448" s="1046"/>
      <c r="T448" s="1004"/>
      <c r="U448" s="1046"/>
    </row>
    <row r="449" spans="1:21" x14ac:dyDescent="0.25">
      <c r="A449" s="1010" t="str">
        <f>IF(C449&gt;0,COUNT(C$132:C449),"")</f>
        <v/>
      </c>
      <c r="B449" s="946"/>
      <c r="C449" s="947"/>
      <c r="D449" s="1002"/>
      <c r="E449" s="949"/>
      <c r="F449" s="950"/>
      <c r="S449" s="1046"/>
      <c r="T449" s="1004"/>
      <c r="U449" s="1046"/>
    </row>
    <row r="450" spans="1:21" ht="48.6" customHeight="1" x14ac:dyDescent="0.25">
      <c r="A450" s="1010">
        <f>IF(C450&gt;0,COUNT(C$132:C450),"")</f>
        <v>79</v>
      </c>
      <c r="B450" s="946" t="s">
        <v>1638</v>
      </c>
      <c r="C450" s="947">
        <f>C446</f>
        <v>52</v>
      </c>
      <c r="D450" s="1002" t="s">
        <v>981</v>
      </c>
      <c r="E450" s="949">
        <v>1800</v>
      </c>
      <c r="F450" s="950">
        <f>E450*C450</f>
        <v>93600</v>
      </c>
      <c r="S450" s="1046"/>
      <c r="T450" s="1004"/>
      <c r="U450" s="1046"/>
    </row>
    <row r="451" spans="1:21" x14ac:dyDescent="0.25">
      <c r="A451" s="1010" t="str">
        <f>IF(C451&gt;0,COUNT(C$132:C451),"")</f>
        <v/>
      </c>
      <c r="B451" s="946"/>
      <c r="C451" s="947"/>
      <c r="D451" s="1002"/>
      <c r="E451" s="949"/>
      <c r="F451" s="950"/>
      <c r="S451" s="1046"/>
      <c r="T451" s="1004"/>
      <c r="U451" s="1046"/>
    </row>
    <row r="452" spans="1:21" ht="41.4" x14ac:dyDescent="0.25">
      <c r="A452" s="1010" t="str">
        <f>IF(C452&gt;0,COUNT(C$132:C452),"")</f>
        <v/>
      </c>
      <c r="B452" s="946" t="s">
        <v>1653</v>
      </c>
      <c r="C452" s="947"/>
      <c r="D452" s="1002"/>
      <c r="E452" s="949"/>
      <c r="F452" s="950"/>
      <c r="S452" s="1046"/>
      <c r="T452" s="1004"/>
      <c r="U452" s="1046"/>
    </row>
    <row r="453" spans="1:21" x14ac:dyDescent="0.25">
      <c r="A453" s="1010" t="str">
        <f>IF(C453&gt;0,COUNT(C$132:C453),"")</f>
        <v/>
      </c>
      <c r="B453" s="946"/>
      <c r="C453" s="947"/>
      <c r="D453" s="1002"/>
      <c r="E453" s="949"/>
      <c r="F453" s="950"/>
      <c r="S453" s="1046"/>
      <c r="T453" s="1004"/>
      <c r="U453" s="1046"/>
    </row>
    <row r="454" spans="1:21" ht="41.4" x14ac:dyDescent="0.25">
      <c r="A454" s="1010" t="str">
        <f>IF(C454&gt;0,COUNT(C$132:C454),"")</f>
        <v/>
      </c>
      <c r="B454" s="946" t="s">
        <v>1654</v>
      </c>
      <c r="C454" s="947"/>
      <c r="D454" s="1002"/>
      <c r="E454" s="949"/>
      <c r="F454" s="950"/>
      <c r="S454" s="1046"/>
      <c r="T454" s="1004"/>
      <c r="U454" s="1046"/>
    </row>
    <row r="455" spans="1:21" x14ac:dyDescent="0.25">
      <c r="A455" s="1010"/>
      <c r="B455" s="946"/>
      <c r="C455" s="947"/>
      <c r="D455" s="1002"/>
      <c r="E455" s="949"/>
      <c r="F455" s="950"/>
      <c r="S455" s="1046"/>
      <c r="T455" s="1004"/>
      <c r="U455" s="1046"/>
    </row>
    <row r="456" spans="1:21" x14ac:dyDescent="0.25">
      <c r="A456" s="1010"/>
      <c r="B456" s="946"/>
      <c r="C456" s="947"/>
      <c r="D456" s="1002"/>
      <c r="E456" s="949"/>
      <c r="F456" s="950"/>
      <c r="S456" s="1046"/>
      <c r="T456" s="1004"/>
      <c r="U456" s="1046"/>
    </row>
    <row r="457" spans="1:21" x14ac:dyDescent="0.25">
      <c r="A457" s="1396" t="str">
        <f>IF(C457&gt;0,COUNT(C$132:C457),"")</f>
        <v/>
      </c>
      <c r="B457" s="956"/>
      <c r="C457" s="1386"/>
      <c r="D457" s="1387"/>
      <c r="E457" s="1320"/>
      <c r="F457" s="1321"/>
      <c r="S457" s="1046"/>
      <c r="T457" s="1004"/>
      <c r="U457" s="1046"/>
    </row>
    <row r="458" spans="1:21" x14ac:dyDescent="0.25">
      <c r="A458" s="1398"/>
      <c r="B458" s="810" t="s">
        <v>915</v>
      </c>
      <c r="C458" s="811"/>
      <c r="D458" s="629"/>
      <c r="E458" s="945"/>
      <c r="F458" s="629"/>
      <c r="S458" s="1046"/>
      <c r="T458" s="1004"/>
      <c r="U458" s="1046"/>
    </row>
    <row r="459" spans="1:21" ht="48.6" customHeight="1" x14ac:dyDescent="0.25">
      <c r="A459" s="1010"/>
      <c r="B459" s="946" t="s">
        <v>1422</v>
      </c>
      <c r="C459" s="1097">
        <v>77</v>
      </c>
      <c r="D459" s="948" t="s">
        <v>981</v>
      </c>
      <c r="E459" s="949">
        <v>1950</v>
      </c>
      <c r="F459" s="950">
        <f>E459*C459</f>
        <v>150150</v>
      </c>
      <c r="S459" s="1046"/>
      <c r="T459" s="1004"/>
      <c r="U459" s="1046"/>
    </row>
    <row r="460" spans="1:21" x14ac:dyDescent="0.25">
      <c r="A460" s="1010"/>
      <c r="B460" s="326"/>
      <c r="C460" s="1097"/>
      <c r="D460" s="1098"/>
      <c r="E460" s="1099"/>
      <c r="F460" s="1098"/>
      <c r="S460" s="1046"/>
      <c r="T460" s="1004"/>
      <c r="U460" s="1046"/>
    </row>
    <row r="461" spans="1:21" ht="27.6" x14ac:dyDescent="0.25">
      <c r="A461" s="1010"/>
      <c r="B461" s="303" t="s">
        <v>1424</v>
      </c>
      <c r="C461" s="1097">
        <v>32</v>
      </c>
      <c r="D461" s="1098" t="s">
        <v>168</v>
      </c>
      <c r="E461" s="1099">
        <f>(5000)*1.45</f>
        <v>7250</v>
      </c>
      <c r="F461" s="1098">
        <f>E461*C461</f>
        <v>232000</v>
      </c>
      <c r="S461" s="1046"/>
      <c r="T461" s="1004"/>
      <c r="U461" s="1046"/>
    </row>
    <row r="462" spans="1:21" x14ac:dyDescent="0.25">
      <c r="A462" s="1010"/>
      <c r="B462" s="326"/>
      <c r="C462" s="1097"/>
      <c r="D462" s="1098"/>
      <c r="E462" s="1099"/>
      <c r="F462" s="1098"/>
      <c r="S462" s="1046"/>
      <c r="T462" s="1004"/>
      <c r="U462" s="1046"/>
    </row>
    <row r="463" spans="1:21" ht="27.6" x14ac:dyDescent="0.25">
      <c r="A463" s="1010"/>
      <c r="B463" s="303" t="s">
        <v>1419</v>
      </c>
      <c r="C463" s="1097">
        <v>2</v>
      </c>
      <c r="D463" s="1098" t="s">
        <v>78</v>
      </c>
      <c r="E463" s="1099">
        <f>(5000)*1.45</f>
        <v>7250</v>
      </c>
      <c r="F463" s="1098">
        <f>E463*C463</f>
        <v>14500</v>
      </c>
      <c r="S463" s="1046"/>
      <c r="T463" s="1004"/>
      <c r="U463" s="1046"/>
    </row>
    <row r="464" spans="1:21" x14ac:dyDescent="0.25">
      <c r="A464" s="1010"/>
      <c r="B464" s="326"/>
      <c r="C464" s="1097"/>
      <c r="D464" s="1098"/>
      <c r="E464" s="1099"/>
      <c r="F464" s="1098"/>
      <c r="S464" s="1046"/>
      <c r="T464" s="1004"/>
      <c r="U464" s="1046"/>
    </row>
    <row r="465" spans="1:21" x14ac:dyDescent="0.25">
      <c r="A465" s="1010"/>
      <c r="B465" s="303" t="s">
        <v>1426</v>
      </c>
      <c r="C465" s="1097">
        <v>42</v>
      </c>
      <c r="D465" s="1098" t="s">
        <v>78</v>
      </c>
      <c r="E465" s="1099">
        <f>(5500)*1.45</f>
        <v>7975</v>
      </c>
      <c r="F465" s="1098">
        <f>E465*C465</f>
        <v>334950</v>
      </c>
      <c r="S465" s="1046"/>
      <c r="T465" s="1004"/>
      <c r="U465" s="1046"/>
    </row>
    <row r="466" spans="1:21" x14ac:dyDescent="0.25">
      <c r="A466" s="1010"/>
      <c r="B466" s="303"/>
      <c r="C466" s="1097"/>
      <c r="D466" s="1098"/>
      <c r="E466" s="1099"/>
      <c r="F466" s="1098"/>
      <c r="S466" s="1046"/>
      <c r="T466" s="1004"/>
      <c r="U466" s="1046"/>
    </row>
    <row r="467" spans="1:21" x14ac:dyDescent="0.25">
      <c r="A467" s="1010"/>
      <c r="B467" s="303" t="s">
        <v>1420</v>
      </c>
      <c r="C467" s="1097">
        <v>3</v>
      </c>
      <c r="D467" s="1098" t="s">
        <v>78</v>
      </c>
      <c r="E467" s="1099">
        <f>(2500)*1.45</f>
        <v>3625</v>
      </c>
      <c r="F467" s="1098">
        <f>E467*C467</f>
        <v>10875</v>
      </c>
      <c r="S467" s="1046"/>
      <c r="T467" s="1004"/>
      <c r="U467" s="1046"/>
    </row>
    <row r="468" spans="1:21" x14ac:dyDescent="0.25">
      <c r="A468" s="1010"/>
      <c r="B468" s="946"/>
      <c r="C468" s="947"/>
      <c r="D468" s="1002"/>
      <c r="E468" s="949"/>
      <c r="F468" s="950"/>
      <c r="S468" s="1046"/>
      <c r="T468" s="1004"/>
      <c r="U468" s="1046"/>
    </row>
    <row r="469" spans="1:21" s="978" customFormat="1" x14ac:dyDescent="0.25">
      <c r="A469" s="1010" t="str">
        <f>IF(C469&gt;0,COUNT(C$132:C469),"")</f>
        <v/>
      </c>
      <c r="B469" s="1021" t="s">
        <v>1655</v>
      </c>
      <c r="C469" s="947"/>
      <c r="D469" s="1002"/>
      <c r="E469" s="949"/>
      <c r="F469" s="1008"/>
      <c r="G469" s="977"/>
      <c r="S469" s="1003"/>
      <c r="T469" s="1004"/>
      <c r="U469" s="1003"/>
    </row>
    <row r="470" spans="1:21" s="978" customFormat="1" x14ac:dyDescent="0.25">
      <c r="A470" s="1010" t="str">
        <f>IF(C470&gt;0,COUNT(C$132:C470),"")</f>
        <v/>
      </c>
      <c r="B470" s="946"/>
      <c r="C470" s="947"/>
      <c r="D470" s="1002"/>
      <c r="E470" s="949"/>
      <c r="F470" s="1008"/>
      <c r="G470" s="977"/>
      <c r="S470" s="1003"/>
      <c r="T470" s="1004"/>
      <c r="U470" s="1003"/>
    </row>
    <row r="471" spans="1:21" s="978" customFormat="1" ht="73.8" customHeight="1" x14ac:dyDescent="0.25">
      <c r="A471" s="1010">
        <f>IF(C471&gt;0,COUNT(C$132:C471),"")</f>
        <v>85</v>
      </c>
      <c r="B471" s="946" t="s">
        <v>1421</v>
      </c>
      <c r="C471" s="947">
        <v>12</v>
      </c>
      <c r="D471" s="1002" t="s">
        <v>981</v>
      </c>
      <c r="E471" s="949">
        <f>E442</f>
        <v>14500</v>
      </c>
      <c r="F471" s="950">
        <f>E471*C471</f>
        <v>174000</v>
      </c>
      <c r="G471" s="977"/>
      <c r="S471" s="1003"/>
      <c r="T471" s="1004"/>
      <c r="U471" s="1003"/>
    </row>
    <row r="472" spans="1:21" x14ac:dyDescent="0.25">
      <c r="A472" s="1010" t="str">
        <f>IF(C472&gt;0,COUNT(C$132:C472),"")</f>
        <v/>
      </c>
      <c r="B472" s="946"/>
      <c r="C472" s="947"/>
      <c r="D472" s="1002"/>
      <c r="E472" s="949"/>
      <c r="F472" s="950"/>
      <c r="S472" s="1046"/>
      <c r="T472" s="1004"/>
      <c r="U472" s="1046"/>
    </row>
    <row r="473" spans="1:21" s="978" customFormat="1" ht="27.6" x14ac:dyDescent="0.25">
      <c r="A473" s="1010" t="str">
        <f>IF(C473&gt;0,COUNT(C$132:C473),"")</f>
        <v/>
      </c>
      <c r="B473" s="1047" t="s">
        <v>1656</v>
      </c>
      <c r="C473" s="947"/>
      <c r="D473" s="1002"/>
      <c r="E473" s="949"/>
      <c r="F473" s="1008"/>
      <c r="G473" s="977"/>
      <c r="S473" s="1003"/>
      <c r="T473" s="1004"/>
      <c r="U473" s="1003"/>
    </row>
    <row r="474" spans="1:21" s="978" customFormat="1" x14ac:dyDescent="0.25">
      <c r="A474" s="1010" t="str">
        <f>IF(C474&gt;0,COUNT(C$132:C474),"")</f>
        <v/>
      </c>
      <c r="B474" s="946"/>
      <c r="C474" s="947"/>
      <c r="D474" s="1002"/>
      <c r="E474" s="949"/>
      <c r="F474" s="1008"/>
      <c r="G474" s="977"/>
      <c r="S474" s="1003"/>
      <c r="T474" s="1004"/>
      <c r="U474" s="1003"/>
    </row>
    <row r="475" spans="1:21" s="978" customFormat="1" ht="76.2" customHeight="1" x14ac:dyDescent="0.25">
      <c r="A475" s="1010">
        <f>IF(C475&gt;0,COUNT(C$132:C475),"")</f>
        <v>86</v>
      </c>
      <c r="B475" s="946" t="s">
        <v>1421</v>
      </c>
      <c r="C475" s="947">
        <v>10</v>
      </c>
      <c r="D475" s="1002" t="s">
        <v>981</v>
      </c>
      <c r="E475" s="949">
        <f>E471</f>
        <v>14500</v>
      </c>
      <c r="F475" s="950">
        <f>E475*C475</f>
        <v>145000</v>
      </c>
      <c r="G475" s="977"/>
      <c r="S475" s="1003"/>
      <c r="T475" s="1004"/>
      <c r="U475" s="1003"/>
    </row>
    <row r="476" spans="1:21" x14ac:dyDescent="0.25">
      <c r="A476" s="1010" t="str">
        <f>IF(C476&gt;0,COUNT(C$132:C476),"")</f>
        <v/>
      </c>
      <c r="B476" s="946"/>
      <c r="C476" s="947"/>
      <c r="D476" s="1002"/>
      <c r="E476" s="949"/>
      <c r="F476" s="950"/>
      <c r="S476" s="1046"/>
      <c r="T476" s="1004"/>
      <c r="U476" s="1046"/>
    </row>
    <row r="477" spans="1:21" s="978" customFormat="1" x14ac:dyDescent="0.25">
      <c r="A477" s="1010" t="str">
        <f>IF(C477&gt;0,COUNT(C$132:C477),"")</f>
        <v/>
      </c>
      <c r="B477" s="1021" t="s">
        <v>1657</v>
      </c>
      <c r="C477" s="947"/>
      <c r="D477" s="1002"/>
      <c r="E477" s="949"/>
      <c r="F477" s="1008"/>
      <c r="G477" s="977"/>
      <c r="S477" s="1003"/>
      <c r="T477" s="1004"/>
      <c r="U477" s="1003"/>
    </row>
    <row r="478" spans="1:21" s="978" customFormat="1" x14ac:dyDescent="0.25">
      <c r="A478" s="1010" t="str">
        <f>IF(C478&gt;0,COUNT(C$132:C478),"")</f>
        <v/>
      </c>
      <c r="B478" s="946"/>
      <c r="C478" s="947"/>
      <c r="D478" s="1002"/>
      <c r="E478" s="949"/>
      <c r="F478" s="1008"/>
      <c r="G478" s="977"/>
      <c r="S478" s="1003"/>
      <c r="T478" s="1004"/>
      <c r="U478" s="1003"/>
    </row>
    <row r="479" spans="1:21" s="978" customFormat="1" ht="76.8" customHeight="1" x14ac:dyDescent="0.25">
      <c r="A479" s="1010">
        <f>IF(C479&gt;0,COUNT(C$132:C479),"")</f>
        <v>87</v>
      </c>
      <c r="B479" s="946" t="s">
        <v>1626</v>
      </c>
      <c r="C479" s="947">
        <v>13</v>
      </c>
      <c r="D479" s="1002" t="s">
        <v>981</v>
      </c>
      <c r="E479" s="949">
        <f>E475</f>
        <v>14500</v>
      </c>
      <c r="F479" s="950">
        <f>E479*C479</f>
        <v>188500</v>
      </c>
      <c r="G479" s="977"/>
      <c r="S479" s="1003"/>
      <c r="T479" s="1004"/>
      <c r="U479" s="1003"/>
    </row>
    <row r="480" spans="1:21" s="978" customFormat="1" x14ac:dyDescent="0.25">
      <c r="A480" s="1010" t="str">
        <f>IF(C480&gt;0,COUNT(C$132:C480),"")</f>
        <v/>
      </c>
      <c r="B480" s="946"/>
      <c r="C480" s="947"/>
      <c r="D480" s="1002"/>
      <c r="E480" s="949"/>
      <c r="F480" s="1008"/>
      <c r="G480" s="977"/>
      <c r="S480" s="1003"/>
      <c r="T480" s="1004"/>
      <c r="U480" s="1003"/>
    </row>
    <row r="481" spans="1:21" s="978" customFormat="1" ht="79.8" customHeight="1" x14ac:dyDescent="0.25">
      <c r="A481" s="1010">
        <f>IF(C481&gt;0,COUNT(C$132:C481),"")</f>
        <v>88</v>
      </c>
      <c r="B481" s="946" t="s">
        <v>1421</v>
      </c>
      <c r="C481" s="947">
        <v>2</v>
      </c>
      <c r="D481" s="1002" t="s">
        <v>981</v>
      </c>
      <c r="E481" s="949">
        <f>E479</f>
        <v>14500</v>
      </c>
      <c r="F481" s="950">
        <f>E481*C481</f>
        <v>29000</v>
      </c>
      <c r="G481" s="977"/>
      <c r="S481" s="1003"/>
      <c r="T481" s="1004"/>
      <c r="U481" s="1003"/>
    </row>
    <row r="482" spans="1:21" x14ac:dyDescent="0.25">
      <c r="A482" s="1010" t="str">
        <f>IF(C482&gt;0,COUNT(C$132:C482),"")</f>
        <v/>
      </c>
      <c r="B482" s="946"/>
      <c r="C482" s="947"/>
      <c r="D482" s="1002"/>
      <c r="E482" s="949"/>
      <c r="F482" s="1008"/>
      <c r="S482" s="1046"/>
      <c r="T482" s="1004"/>
      <c r="U482" s="1046"/>
    </row>
    <row r="483" spans="1:21" ht="79.8" customHeight="1" x14ac:dyDescent="0.25">
      <c r="A483" s="1010">
        <f>IF(C483&gt;0,COUNT(C$132:C483),"")</f>
        <v>89</v>
      </c>
      <c r="B483" s="946" t="s">
        <v>1629</v>
      </c>
      <c r="C483" s="947">
        <v>26</v>
      </c>
      <c r="D483" s="1002" t="s">
        <v>981</v>
      </c>
      <c r="E483" s="949">
        <f>E446</f>
        <v>14500</v>
      </c>
      <c r="F483" s="950">
        <f>E483*C483</f>
        <v>377000</v>
      </c>
      <c r="S483" s="1046"/>
      <c r="T483" s="1004"/>
      <c r="U483" s="1046"/>
    </row>
    <row r="484" spans="1:21" x14ac:dyDescent="0.25">
      <c r="A484" s="1010" t="str">
        <f>IF(C484&gt;0,COUNT(C$132:C484),"")</f>
        <v/>
      </c>
      <c r="B484" s="946"/>
      <c r="C484" s="947"/>
      <c r="D484" s="1002"/>
      <c r="E484" s="949"/>
      <c r="F484" s="1008"/>
      <c r="S484" s="1046"/>
      <c r="T484" s="1004"/>
      <c r="U484" s="1046"/>
    </row>
    <row r="485" spans="1:21" ht="77.400000000000006" customHeight="1" x14ac:dyDescent="0.25">
      <c r="A485" s="1010">
        <f>IF(C485&gt;0,COUNT(C$132:C485),"")</f>
        <v>90</v>
      </c>
      <c r="B485" s="946" t="s">
        <v>1630</v>
      </c>
      <c r="C485" s="947">
        <v>1</v>
      </c>
      <c r="D485" s="1002" t="s">
        <v>981</v>
      </c>
      <c r="E485" s="949">
        <f>E448</f>
        <v>14500</v>
      </c>
      <c r="F485" s="950">
        <f>E485*C485</f>
        <v>14500</v>
      </c>
      <c r="S485" s="1046"/>
      <c r="T485" s="1004"/>
      <c r="U485" s="1046"/>
    </row>
    <row r="486" spans="1:21" x14ac:dyDescent="0.25">
      <c r="A486" s="1010" t="str">
        <f>IF(C486&gt;0,COUNT(C$132:C486),"")</f>
        <v/>
      </c>
      <c r="B486" s="946"/>
      <c r="C486" s="947"/>
      <c r="D486" s="1002"/>
      <c r="E486" s="949"/>
      <c r="F486" s="1008"/>
      <c r="S486" s="1046"/>
      <c r="T486" s="1004"/>
      <c r="U486" s="1046"/>
    </row>
    <row r="487" spans="1:21" ht="77.400000000000006" customHeight="1" x14ac:dyDescent="0.25">
      <c r="A487" s="1010">
        <f>IF(C487&gt;0,COUNT(C$132:C487),"")</f>
        <v>91</v>
      </c>
      <c r="B487" s="946" t="s">
        <v>1631</v>
      </c>
      <c r="C487" s="947">
        <v>7</v>
      </c>
      <c r="D487" s="1002" t="s">
        <v>981</v>
      </c>
      <c r="E487" s="949">
        <f>E415</f>
        <v>14500</v>
      </c>
      <c r="F487" s="950">
        <f>E487*C487</f>
        <v>101500</v>
      </c>
      <c r="S487" s="1046"/>
      <c r="T487" s="1004"/>
      <c r="U487" s="1046"/>
    </row>
    <row r="488" spans="1:21" x14ac:dyDescent="0.25">
      <c r="A488" s="1396" t="str">
        <f>IF(C488&gt;0,COUNT(C$132:C488),"")</f>
        <v/>
      </c>
      <c r="B488" s="956"/>
      <c r="C488" s="1386"/>
      <c r="D488" s="1387"/>
      <c r="E488" s="1320"/>
      <c r="F488" s="1321"/>
      <c r="S488" s="1046"/>
      <c r="T488" s="1004"/>
      <c r="U488" s="1046"/>
    </row>
    <row r="489" spans="1:21" ht="41.4" x14ac:dyDescent="0.25">
      <c r="A489" s="1398">
        <f>IF(C489&gt;0,COUNT(C$132:C489),"")</f>
        <v>92</v>
      </c>
      <c r="B489" s="1404" t="s">
        <v>1417</v>
      </c>
      <c r="C489" s="1390">
        <f>C485+C483</f>
        <v>27</v>
      </c>
      <c r="D489" s="1391" t="s">
        <v>981</v>
      </c>
      <c r="E489" s="1382">
        <v>1200</v>
      </c>
      <c r="F489" s="1383">
        <f>E489*C489</f>
        <v>32400</v>
      </c>
      <c r="S489" s="1046"/>
      <c r="T489" s="1004"/>
      <c r="U489" s="1046"/>
    </row>
    <row r="490" spans="1:21" x14ac:dyDescent="0.25">
      <c r="A490" s="1010" t="str">
        <f>IF(C490&gt;0,COUNT(C$132:C490),"")</f>
        <v/>
      </c>
      <c r="B490" s="946"/>
      <c r="C490" s="947"/>
      <c r="D490" s="1002"/>
      <c r="E490" s="949"/>
      <c r="F490" s="950"/>
      <c r="S490" s="1046"/>
      <c r="T490" s="1004"/>
      <c r="U490" s="1046"/>
    </row>
    <row r="491" spans="1:21" ht="41.4" x14ac:dyDescent="0.25">
      <c r="A491" s="1010" t="str">
        <f>IF(C491&gt;0,COUNT(C$132:C491),"")</f>
        <v/>
      </c>
      <c r="B491" s="946" t="s">
        <v>1632</v>
      </c>
      <c r="C491" s="947"/>
      <c r="D491" s="1002"/>
      <c r="E491" s="949"/>
      <c r="F491" s="950">
        <f>E491*C491</f>
        <v>0</v>
      </c>
      <c r="S491" s="1046"/>
      <c r="T491" s="1004"/>
      <c r="U491" s="1046"/>
    </row>
    <row r="492" spans="1:21" x14ac:dyDescent="0.25">
      <c r="A492" s="1010" t="str">
        <f>IF(C492&gt;0,COUNT(C$132:C492),"")</f>
        <v/>
      </c>
      <c r="B492" s="946"/>
      <c r="C492" s="947"/>
      <c r="D492" s="1002"/>
      <c r="E492" s="949"/>
      <c r="F492" s="950"/>
      <c r="S492" s="1046"/>
      <c r="T492" s="1004"/>
      <c r="U492" s="1046"/>
    </row>
    <row r="493" spans="1:21" ht="41.4" x14ac:dyDescent="0.25">
      <c r="A493" s="1010" t="str">
        <f>IF(C493&gt;0,COUNT(C$132:C493),"")</f>
        <v/>
      </c>
      <c r="B493" s="946" t="s">
        <v>1658</v>
      </c>
      <c r="C493" s="947"/>
      <c r="D493" s="1002"/>
      <c r="E493" s="949"/>
      <c r="F493" s="950">
        <f>E493*C493</f>
        <v>0</v>
      </c>
      <c r="S493" s="1046"/>
      <c r="T493" s="1004"/>
      <c r="U493" s="1046"/>
    </row>
    <row r="494" spans="1:21" x14ac:dyDescent="0.25">
      <c r="A494" s="1010" t="str">
        <f>IF(C494&gt;0,COUNT(C$132:C494),"")</f>
        <v/>
      </c>
      <c r="B494" s="946"/>
      <c r="C494" s="947"/>
      <c r="D494" s="1002"/>
      <c r="E494" s="949"/>
      <c r="F494" s="950"/>
      <c r="S494" s="1046"/>
      <c r="T494" s="1004"/>
      <c r="U494" s="1046"/>
    </row>
    <row r="495" spans="1:21" ht="41.4" x14ac:dyDescent="0.25">
      <c r="A495" s="1010" t="str">
        <f>IF(C495&gt;0,COUNT(C$132:C495),"")</f>
        <v/>
      </c>
      <c r="B495" s="946" t="s">
        <v>1659</v>
      </c>
      <c r="C495" s="947"/>
      <c r="D495" s="1002"/>
      <c r="E495" s="949"/>
      <c r="F495" s="950">
        <f>E495*C495</f>
        <v>0</v>
      </c>
      <c r="S495" s="1046"/>
      <c r="T495" s="1004"/>
      <c r="U495" s="1046"/>
    </row>
    <row r="496" spans="1:21" x14ac:dyDescent="0.25">
      <c r="A496" s="1010"/>
      <c r="B496" s="946"/>
      <c r="C496" s="947"/>
      <c r="D496" s="1002"/>
      <c r="E496" s="949"/>
      <c r="F496" s="950"/>
      <c r="S496" s="1046"/>
      <c r="T496" s="1004"/>
      <c r="U496" s="1046"/>
    </row>
    <row r="497" spans="1:23" x14ac:dyDescent="0.25">
      <c r="A497" s="1010"/>
      <c r="B497" s="326" t="s">
        <v>915</v>
      </c>
      <c r="C497" s="1097"/>
      <c r="D497" s="1098"/>
      <c r="E497" s="1099"/>
      <c r="F497" s="1098"/>
      <c r="S497" s="1046"/>
      <c r="T497" s="1004"/>
      <c r="U497" s="1046"/>
    </row>
    <row r="498" spans="1:23" ht="45" customHeight="1" x14ac:dyDescent="0.25">
      <c r="A498" s="1010"/>
      <c r="B498" s="946" t="s">
        <v>1417</v>
      </c>
      <c r="C498" s="1097">
        <v>36</v>
      </c>
      <c r="D498" s="948" t="s">
        <v>981</v>
      </c>
      <c r="E498" s="949">
        <v>1850</v>
      </c>
      <c r="F498" s="950">
        <f>E498*C498</f>
        <v>66600</v>
      </c>
      <c r="S498" s="1046"/>
      <c r="T498" s="1004"/>
      <c r="U498" s="1046"/>
    </row>
    <row r="499" spans="1:23" x14ac:dyDescent="0.25">
      <c r="A499" s="1010"/>
      <c r="B499" s="303"/>
      <c r="C499" s="1097"/>
      <c r="D499" s="1098"/>
      <c r="E499" s="1099"/>
      <c r="F499" s="1098"/>
      <c r="S499" s="1046"/>
      <c r="T499" s="1004"/>
      <c r="U499" s="1046"/>
    </row>
    <row r="500" spans="1:23" ht="27.6" x14ac:dyDescent="0.25">
      <c r="A500" s="1010"/>
      <c r="B500" s="303" t="s">
        <v>1418</v>
      </c>
      <c r="C500" s="1097">
        <v>7</v>
      </c>
      <c r="D500" s="1098" t="s">
        <v>78</v>
      </c>
      <c r="E500" s="1099">
        <f>(4000)*1.45</f>
        <v>5800</v>
      </c>
      <c r="F500" s="1098">
        <f>E500*C500</f>
        <v>40600</v>
      </c>
      <c r="S500" s="1046"/>
      <c r="T500" s="1004"/>
      <c r="U500" s="1046"/>
    </row>
    <row r="501" spans="1:23" x14ac:dyDescent="0.25">
      <c r="A501" s="1010"/>
      <c r="B501" s="303"/>
      <c r="C501" s="1097"/>
      <c r="D501" s="1098"/>
      <c r="E501" s="1099"/>
      <c r="F501" s="1098"/>
      <c r="S501" s="1046"/>
      <c r="T501" s="1004"/>
      <c r="U501" s="1046"/>
    </row>
    <row r="502" spans="1:23" ht="27.6" x14ac:dyDescent="0.25">
      <c r="A502" s="1010"/>
      <c r="B502" s="303" t="s">
        <v>1429</v>
      </c>
      <c r="C502" s="1097">
        <v>27</v>
      </c>
      <c r="D502" s="1098" t="s">
        <v>168</v>
      </c>
      <c r="E502" s="1099">
        <f>(5000)*1.45</f>
        <v>7250</v>
      </c>
      <c r="F502" s="1098">
        <f>E502*C502</f>
        <v>195750</v>
      </c>
      <c r="S502" s="1046"/>
      <c r="T502" s="1004"/>
      <c r="U502" s="1046"/>
    </row>
    <row r="503" spans="1:23" x14ac:dyDescent="0.25">
      <c r="A503" s="1010"/>
      <c r="B503" s="326"/>
      <c r="C503" s="1097"/>
      <c r="D503" s="1098"/>
      <c r="E503" s="1099"/>
      <c r="F503" s="1098"/>
      <c r="S503" s="1046"/>
      <c r="T503" s="1004"/>
      <c r="U503" s="1046"/>
    </row>
    <row r="504" spans="1:23" ht="27.6" x14ac:dyDescent="0.25">
      <c r="A504" s="1010"/>
      <c r="B504" s="303" t="s">
        <v>1419</v>
      </c>
      <c r="C504" s="1097">
        <v>2</v>
      </c>
      <c r="D504" s="1098" t="s">
        <v>78</v>
      </c>
      <c r="E504" s="1099">
        <f>(5000)*1.45</f>
        <v>7250</v>
      </c>
      <c r="F504" s="1098">
        <f>E504*C504</f>
        <v>14500</v>
      </c>
      <c r="S504" s="1046"/>
      <c r="T504" s="1004"/>
      <c r="U504" s="1046"/>
    </row>
    <row r="505" spans="1:23" x14ac:dyDescent="0.25">
      <c r="A505" s="1010"/>
      <c r="B505" s="326"/>
      <c r="C505" s="1097"/>
      <c r="D505" s="1098"/>
      <c r="E505" s="1099"/>
      <c r="F505" s="1098"/>
      <c r="S505" s="1046"/>
      <c r="T505" s="1004"/>
      <c r="U505" s="1046"/>
    </row>
    <row r="506" spans="1:23" x14ac:dyDescent="0.25">
      <c r="A506" s="1010"/>
      <c r="B506" s="303" t="s">
        <v>1420</v>
      </c>
      <c r="C506" s="1097">
        <v>4</v>
      </c>
      <c r="D506" s="1098" t="s">
        <v>78</v>
      </c>
      <c r="E506" s="1099">
        <f>(2500)*1.45</f>
        <v>3625</v>
      </c>
      <c r="F506" s="1098">
        <f>E506*C506</f>
        <v>14500</v>
      </c>
      <c r="S506" s="1046"/>
      <c r="T506" s="1004"/>
      <c r="U506" s="1046"/>
    </row>
    <row r="507" spans="1:23" x14ac:dyDescent="0.25">
      <c r="A507" s="1010"/>
      <c r="B507" s="946"/>
      <c r="C507" s="947"/>
      <c r="D507" s="1002"/>
      <c r="E507" s="949"/>
      <c r="F507" s="950"/>
      <c r="S507" s="1046"/>
      <c r="T507" s="1004"/>
      <c r="U507" s="1046"/>
    </row>
    <row r="508" spans="1:23" s="978" customFormat="1" ht="76.2" customHeight="1" x14ac:dyDescent="0.25">
      <c r="A508" s="1010">
        <f>IF(C508&gt;0,COUNT(C$132:C508),"")</f>
        <v>98</v>
      </c>
      <c r="B508" s="946" t="s">
        <v>1635</v>
      </c>
      <c r="C508" s="947">
        <v>2</v>
      </c>
      <c r="D508" s="1002" t="s">
        <v>981</v>
      </c>
      <c r="E508" s="1587">
        <f>E371</f>
        <v>14500</v>
      </c>
      <c r="F508" s="950">
        <f>E508*C508</f>
        <v>29000</v>
      </c>
      <c r="U508" s="1003"/>
      <c r="V508" s="1004"/>
      <c r="W508" s="1003"/>
    </row>
    <row r="509" spans="1:23" s="978" customFormat="1" x14ac:dyDescent="0.25">
      <c r="A509" s="1010" t="str">
        <f>IF(C509&gt;0,COUNT(C$132:C509),"")</f>
        <v/>
      </c>
      <c r="B509" s="946"/>
      <c r="C509" s="947"/>
      <c r="D509" s="1002"/>
      <c r="E509" s="1587"/>
      <c r="F509" s="950"/>
      <c r="U509" s="1003"/>
      <c r="V509" s="1004"/>
      <c r="W509" s="1003"/>
    </row>
    <row r="510" spans="1:23" s="978" customFormat="1" ht="89.4" customHeight="1" x14ac:dyDescent="0.25">
      <c r="A510" s="1010">
        <f>IF(C510&gt;0,COUNT(C$132:C510),"")</f>
        <v>99</v>
      </c>
      <c r="B510" s="946" t="s">
        <v>1721</v>
      </c>
      <c r="C510" s="947">
        <f>C508</f>
        <v>2</v>
      </c>
      <c r="D510" s="1002" t="s">
        <v>981</v>
      </c>
      <c r="E510" s="1587">
        <f>25500*1.45</f>
        <v>36975</v>
      </c>
      <c r="F510" s="950">
        <f>E510*C510</f>
        <v>73950</v>
      </c>
      <c r="U510" s="1003"/>
      <c r="V510" s="1004"/>
      <c r="W510" s="1003"/>
    </row>
    <row r="511" spans="1:23" x14ac:dyDescent="0.25">
      <c r="A511" s="1010" t="str">
        <f>IF(C511&gt;0,COUNT(C$132:C511),"")</f>
        <v/>
      </c>
      <c r="B511" s="946"/>
      <c r="C511" s="947"/>
      <c r="D511" s="1002"/>
      <c r="E511" s="949"/>
      <c r="F511" s="950"/>
      <c r="S511" s="1046"/>
      <c r="T511" s="1004"/>
      <c r="U511" s="1046"/>
    </row>
    <row r="512" spans="1:23" s="978" customFormat="1" x14ac:dyDescent="0.25">
      <c r="A512" s="1010" t="str">
        <f>IF(C512&gt;0,COUNT(C$132:C512),"")</f>
        <v/>
      </c>
      <c r="B512" s="1021" t="s">
        <v>1660</v>
      </c>
      <c r="C512" s="947"/>
      <c r="D512" s="1002"/>
      <c r="E512" s="949"/>
      <c r="F512" s="1008"/>
      <c r="G512" s="977"/>
      <c r="S512" s="1003"/>
      <c r="T512" s="1004"/>
      <c r="U512" s="1003"/>
    </row>
    <row r="513" spans="1:21" s="978" customFormat="1" x14ac:dyDescent="0.25">
      <c r="A513" s="1010" t="str">
        <f>IF(C513&gt;0,COUNT(C$132:C513),"")</f>
        <v/>
      </c>
      <c r="B513" s="946"/>
      <c r="C513" s="947"/>
      <c r="D513" s="1002"/>
      <c r="E513" s="949"/>
      <c r="F513" s="1008"/>
      <c r="G513" s="977"/>
      <c r="S513" s="1003"/>
      <c r="T513" s="1004"/>
      <c r="U513" s="1003"/>
    </row>
    <row r="514" spans="1:21" s="978" customFormat="1" ht="76.8" customHeight="1" x14ac:dyDescent="0.25">
      <c r="A514" s="1010">
        <f>IF(C514&gt;0,COUNT(C$132:C514),"")</f>
        <v>100</v>
      </c>
      <c r="B514" s="946" t="s">
        <v>1661</v>
      </c>
      <c r="C514" s="947">
        <v>1</v>
      </c>
      <c r="D514" s="1002" t="s">
        <v>981</v>
      </c>
      <c r="E514" s="949">
        <f>E481</f>
        <v>14500</v>
      </c>
      <c r="F514" s="950">
        <f>E514*C514</f>
        <v>14500</v>
      </c>
      <c r="G514" s="977"/>
      <c r="S514" s="1003"/>
      <c r="T514" s="1004"/>
      <c r="U514" s="1003"/>
    </row>
    <row r="515" spans="1:21" s="978" customFormat="1" x14ac:dyDescent="0.25">
      <c r="A515" s="1010" t="str">
        <f>IF(C515&gt;0,COUNT(C$132:C515),"")</f>
        <v/>
      </c>
      <c r="B515" s="946"/>
      <c r="C515" s="947"/>
      <c r="D515" s="1002"/>
      <c r="E515" s="949"/>
      <c r="F515" s="950"/>
      <c r="G515" s="977"/>
      <c r="S515" s="1003"/>
      <c r="T515" s="1004"/>
      <c r="U515" s="1003"/>
    </row>
    <row r="516" spans="1:21" s="978" customFormat="1" ht="88.2" customHeight="1" x14ac:dyDescent="0.25">
      <c r="A516" s="1010">
        <f>IF(C516&gt;0,COUNT(C$132:C516),"")</f>
        <v>101</v>
      </c>
      <c r="B516" s="946" t="s">
        <v>1662</v>
      </c>
      <c r="C516" s="947">
        <v>2</v>
      </c>
      <c r="D516" s="1002" t="s">
        <v>981</v>
      </c>
      <c r="E516" s="949">
        <f>E514</f>
        <v>14500</v>
      </c>
      <c r="F516" s="950">
        <f>E516*C516</f>
        <v>29000</v>
      </c>
      <c r="G516" s="977"/>
      <c r="S516" s="1003"/>
      <c r="T516" s="1004"/>
      <c r="U516" s="1003"/>
    </row>
    <row r="517" spans="1:21" x14ac:dyDescent="0.25">
      <c r="A517" s="1010" t="str">
        <f>IF(C517&gt;0,COUNT(C$132:C517),"")</f>
        <v/>
      </c>
      <c r="B517" s="946"/>
      <c r="C517" s="951"/>
      <c r="D517" s="952"/>
      <c r="E517" s="952"/>
      <c r="F517" s="952"/>
      <c r="S517" s="1046"/>
      <c r="T517" s="1004"/>
      <c r="U517" s="1046"/>
    </row>
    <row r="518" spans="1:21" ht="77.400000000000006" customHeight="1" x14ac:dyDescent="0.25">
      <c r="A518" s="1010">
        <f>IF(C518&gt;0,COUNT(C$132:C518),"")</f>
        <v>102</v>
      </c>
      <c r="B518" s="946" t="s">
        <v>1637</v>
      </c>
      <c r="C518" s="947">
        <v>4</v>
      </c>
      <c r="D518" s="1002" t="s">
        <v>981</v>
      </c>
      <c r="E518" s="949">
        <f>E483</f>
        <v>14500</v>
      </c>
      <c r="F518" s="950">
        <f>E518*C518</f>
        <v>58000</v>
      </c>
      <c r="S518" s="1046"/>
      <c r="T518" s="1004"/>
      <c r="U518" s="1046"/>
    </row>
    <row r="519" spans="1:21" x14ac:dyDescent="0.25">
      <c r="A519" s="1396" t="str">
        <f>IF(C519&gt;0,COUNT(C$132:C519),"")</f>
        <v/>
      </c>
      <c r="B519" s="956"/>
      <c r="C519" s="1386"/>
      <c r="D519" s="1387"/>
      <c r="E519" s="1320"/>
      <c r="F519" s="1138"/>
      <c r="S519" s="1046"/>
      <c r="T519" s="1004"/>
      <c r="U519" s="1046"/>
    </row>
    <row r="520" spans="1:21" ht="76.8" customHeight="1" x14ac:dyDescent="0.25">
      <c r="A520" s="1398">
        <f>IF(C520&gt;0,COUNT(C$132:C520),"")</f>
        <v>103</v>
      </c>
      <c r="B520" s="1404" t="s">
        <v>1631</v>
      </c>
      <c r="C520" s="1390">
        <v>13</v>
      </c>
      <c r="D520" s="1391" t="s">
        <v>981</v>
      </c>
      <c r="E520" s="1382">
        <f>E487</f>
        <v>14500</v>
      </c>
      <c r="F520" s="1383">
        <f>E520*C520</f>
        <v>188500</v>
      </c>
      <c r="S520" s="1046"/>
      <c r="T520" s="1004"/>
      <c r="U520" s="1046"/>
    </row>
    <row r="521" spans="1:21" x14ac:dyDescent="0.25">
      <c r="A521" s="1010" t="str">
        <f>IF(C521&gt;0,COUNT(C$132:C521),"")</f>
        <v/>
      </c>
      <c r="B521" s="946"/>
      <c r="C521" s="947"/>
      <c r="D521" s="1002"/>
      <c r="E521" s="949"/>
      <c r="F521" s="950"/>
      <c r="S521" s="1046"/>
      <c r="T521" s="1004"/>
      <c r="U521" s="1046"/>
    </row>
    <row r="522" spans="1:21" ht="41.4" x14ac:dyDescent="0.25">
      <c r="A522" s="1010">
        <f>IF(C522&gt;0,COUNT(C$132:C522),"")</f>
        <v>104</v>
      </c>
      <c r="B522" s="946" t="s">
        <v>1638</v>
      </c>
      <c r="C522" s="947">
        <f>C518</f>
        <v>4</v>
      </c>
      <c r="D522" s="1002" t="s">
        <v>981</v>
      </c>
      <c r="E522" s="949">
        <v>1850</v>
      </c>
      <c r="F522" s="950">
        <f>E522*C522</f>
        <v>7400</v>
      </c>
      <c r="S522" s="1046"/>
      <c r="T522" s="1004"/>
      <c r="U522" s="1046"/>
    </row>
    <row r="523" spans="1:21" x14ac:dyDescent="0.25">
      <c r="A523" s="1010" t="str">
        <f>IF(C523&gt;0,COUNT(C$132:C523),"")</f>
        <v/>
      </c>
      <c r="B523" s="946"/>
      <c r="C523" s="947"/>
      <c r="D523" s="1002"/>
      <c r="E523" s="949"/>
      <c r="F523" s="950"/>
      <c r="S523" s="1046"/>
      <c r="T523" s="1004"/>
      <c r="U523" s="1046"/>
    </row>
    <row r="524" spans="1:21" ht="41.4" x14ac:dyDescent="0.25">
      <c r="A524" s="1010">
        <f>IF(C524&gt;0,COUNT(C$132:C524),"")</f>
        <v>105</v>
      </c>
      <c r="B524" s="946" t="s">
        <v>1632</v>
      </c>
      <c r="C524" s="947">
        <f>C520</f>
        <v>13</v>
      </c>
      <c r="D524" s="1002" t="s">
        <v>981</v>
      </c>
      <c r="E524" s="949">
        <v>1850</v>
      </c>
      <c r="F524" s="950">
        <f>E524*C524</f>
        <v>24050</v>
      </c>
      <c r="S524" s="1046"/>
      <c r="T524" s="1004"/>
      <c r="U524" s="1046"/>
    </row>
    <row r="525" spans="1:21" x14ac:dyDescent="0.25">
      <c r="A525" s="1010" t="str">
        <f>IF(C525&gt;0,COUNT(C$132:C525),"")</f>
        <v/>
      </c>
      <c r="B525" s="946"/>
      <c r="C525" s="947"/>
      <c r="D525" s="1002"/>
      <c r="E525" s="949"/>
      <c r="F525" s="950"/>
      <c r="S525" s="1046"/>
      <c r="T525" s="1004"/>
      <c r="U525" s="1046"/>
    </row>
    <row r="526" spans="1:21" ht="41.4" x14ac:dyDescent="0.25">
      <c r="A526" s="1010">
        <f>IF(C526&gt;0,COUNT(C$132:C526),"")</f>
        <v>106</v>
      </c>
      <c r="B526" s="946" t="s">
        <v>1663</v>
      </c>
      <c r="C526" s="947">
        <f>C522</f>
        <v>4</v>
      </c>
      <c r="D526" s="1002" t="s">
        <v>981</v>
      </c>
      <c r="E526" s="949">
        <v>12500</v>
      </c>
      <c r="F526" s="950">
        <f>E526*C526</f>
        <v>50000</v>
      </c>
      <c r="S526" s="1046"/>
      <c r="T526" s="1004"/>
      <c r="U526" s="1046"/>
    </row>
    <row r="527" spans="1:21" x14ac:dyDescent="0.25">
      <c r="A527" s="1010" t="str">
        <f>IF(C527&gt;0,COUNT(C$132:C527),"")</f>
        <v/>
      </c>
      <c r="B527" s="946"/>
      <c r="C527" s="947"/>
      <c r="D527" s="1002"/>
      <c r="E527" s="949"/>
      <c r="F527" s="950"/>
      <c r="S527" s="1046"/>
      <c r="T527" s="1004"/>
      <c r="U527" s="1046"/>
    </row>
    <row r="528" spans="1:21" ht="41.4" x14ac:dyDescent="0.25">
      <c r="A528" s="1010">
        <f>IF(C528&gt;0,COUNT(C$132:C528),"")</f>
        <v>107</v>
      </c>
      <c r="B528" s="946" t="s">
        <v>1664</v>
      </c>
      <c r="C528" s="947">
        <f>C524</f>
        <v>13</v>
      </c>
      <c r="D528" s="1002" t="s">
        <v>981</v>
      </c>
      <c r="E528" s="949">
        <v>12500</v>
      </c>
      <c r="F528" s="950">
        <f>E528*C528</f>
        <v>162500</v>
      </c>
      <c r="S528" s="1046"/>
      <c r="T528" s="1004"/>
      <c r="U528" s="1046"/>
    </row>
    <row r="529" spans="1:21" x14ac:dyDescent="0.25">
      <c r="A529" s="1010"/>
      <c r="B529" s="946"/>
      <c r="C529" s="947"/>
      <c r="D529" s="1002"/>
      <c r="E529" s="949"/>
      <c r="F529" s="950"/>
      <c r="S529" s="1046"/>
      <c r="T529" s="1004"/>
      <c r="U529" s="1046"/>
    </row>
    <row r="530" spans="1:21" s="1049" customFormat="1" x14ac:dyDescent="0.25">
      <c r="A530" s="1010" t="str">
        <f>IF(C530&gt;0,COUNT(C$132:C530),"")</f>
        <v/>
      </c>
      <c r="B530" s="1021" t="s">
        <v>1665</v>
      </c>
      <c r="C530" s="947"/>
      <c r="D530" s="1002"/>
      <c r="E530" s="949"/>
      <c r="F530" s="1008"/>
      <c r="G530" s="1048"/>
      <c r="S530" s="1050"/>
      <c r="T530" s="1051"/>
      <c r="U530" s="1050"/>
    </row>
    <row r="531" spans="1:21" s="978" customFormat="1" x14ac:dyDescent="0.25">
      <c r="A531" s="1010" t="str">
        <f>IF(C531&gt;0,COUNT(C$132:C531),"")</f>
        <v/>
      </c>
      <c r="B531" s="946"/>
      <c r="C531" s="947"/>
      <c r="D531" s="1002"/>
      <c r="E531" s="949"/>
      <c r="F531" s="1008"/>
      <c r="G531" s="977"/>
      <c r="S531" s="1003"/>
      <c r="T531" s="1004"/>
      <c r="U531" s="1003"/>
    </row>
    <row r="532" spans="1:21" ht="74.400000000000006" customHeight="1" x14ac:dyDescent="0.25">
      <c r="A532" s="1010">
        <f>IF(C532&gt;0,COUNT(C$132:C532),"")</f>
        <v>108</v>
      </c>
      <c r="B532" s="946" t="s">
        <v>1666</v>
      </c>
      <c r="C532" s="947">
        <v>3</v>
      </c>
      <c r="D532" s="1002" t="s">
        <v>981</v>
      </c>
      <c r="E532" s="949">
        <f>E516</f>
        <v>14500</v>
      </c>
      <c r="F532" s="950">
        <f>E532*C532</f>
        <v>43500</v>
      </c>
      <c r="S532" s="1046"/>
      <c r="T532" s="1004"/>
      <c r="U532" s="1046"/>
    </row>
    <row r="533" spans="1:21" x14ac:dyDescent="0.25">
      <c r="A533" s="1010" t="str">
        <f>IF(C533&gt;0,COUNT(C$132:C533),"")</f>
        <v/>
      </c>
      <c r="B533" s="1018"/>
      <c r="C533" s="947"/>
      <c r="D533" s="1002"/>
      <c r="E533" s="949"/>
      <c r="F533" s="1008"/>
      <c r="S533" s="1046"/>
      <c r="T533" s="1004"/>
      <c r="U533" s="1046"/>
    </row>
    <row r="534" spans="1:21" ht="72.599999999999994" customHeight="1" x14ac:dyDescent="0.25">
      <c r="A534" s="1010">
        <f>IF(C534&gt;0,COUNT(C$132:C534),"")</f>
        <v>109</v>
      </c>
      <c r="B534" s="946" t="s">
        <v>1667</v>
      </c>
      <c r="C534" s="947">
        <v>2</v>
      </c>
      <c r="D534" s="1002" t="s">
        <v>981</v>
      </c>
      <c r="E534" s="949">
        <f>E483</f>
        <v>14500</v>
      </c>
      <c r="F534" s="950">
        <f>E534*C534</f>
        <v>29000</v>
      </c>
      <c r="S534" s="1046"/>
      <c r="T534" s="1004"/>
      <c r="U534" s="1046"/>
    </row>
    <row r="535" spans="1:21" x14ac:dyDescent="0.25">
      <c r="A535" s="1010" t="str">
        <f>IF(C535&gt;0,COUNT(C$132:C535),"")</f>
        <v/>
      </c>
      <c r="B535" s="1018"/>
      <c r="C535" s="947"/>
      <c r="D535" s="1002"/>
      <c r="E535" s="949"/>
      <c r="F535" s="950"/>
      <c r="S535" s="1046"/>
      <c r="T535" s="1004"/>
      <c r="U535" s="1046"/>
    </row>
    <row r="536" spans="1:21" ht="46.8" customHeight="1" x14ac:dyDescent="0.25">
      <c r="A536" s="1010">
        <f>IF(C536&gt;0,COUNT(C$132:C536),"")</f>
        <v>110</v>
      </c>
      <c r="B536" s="946" t="s">
        <v>1668</v>
      </c>
      <c r="C536" s="947">
        <f>C534</f>
        <v>2</v>
      </c>
      <c r="D536" s="1002" t="s">
        <v>981</v>
      </c>
      <c r="E536" s="949">
        <v>1200</v>
      </c>
      <c r="F536" s="950">
        <f>E536*C536</f>
        <v>2400</v>
      </c>
      <c r="S536" s="1046"/>
      <c r="T536" s="1004"/>
      <c r="U536" s="1046"/>
    </row>
    <row r="537" spans="1:21" x14ac:dyDescent="0.25">
      <c r="A537" s="1010" t="str">
        <f>IF(C537&gt;0,COUNT(C$132:C537),"")</f>
        <v/>
      </c>
      <c r="B537" s="946"/>
      <c r="C537" s="947"/>
      <c r="D537" s="1002"/>
      <c r="E537" s="949"/>
      <c r="F537" s="950"/>
      <c r="S537" s="1046"/>
      <c r="T537" s="1004"/>
      <c r="U537" s="1046"/>
    </row>
    <row r="538" spans="1:21" ht="48.6" customHeight="1" x14ac:dyDescent="0.25">
      <c r="A538" s="1010">
        <f>IF(C538&gt;0,COUNT(C$132:C538),"")</f>
        <v>111</v>
      </c>
      <c r="B538" s="946" t="s">
        <v>1633</v>
      </c>
      <c r="C538" s="947">
        <f>C534</f>
        <v>2</v>
      </c>
      <c r="D538" s="1002" t="s">
        <v>981</v>
      </c>
      <c r="E538" s="949">
        <v>12500</v>
      </c>
      <c r="F538" s="950">
        <f>E538*C538</f>
        <v>25000</v>
      </c>
      <c r="S538" s="1046"/>
      <c r="T538" s="1004"/>
      <c r="U538" s="1046"/>
    </row>
    <row r="539" spans="1:21" x14ac:dyDescent="0.25">
      <c r="A539" s="1010" t="str">
        <f>IF(C539&gt;0,COUNT(C$132:C539),"")</f>
        <v/>
      </c>
      <c r="B539" s="1018"/>
      <c r="C539" s="947"/>
      <c r="D539" s="1002"/>
      <c r="E539" s="949"/>
      <c r="F539" s="1008"/>
      <c r="S539" s="1046"/>
      <c r="T539" s="1004"/>
      <c r="U539" s="1046"/>
    </row>
    <row r="540" spans="1:21" x14ac:dyDescent="0.25">
      <c r="A540" s="1010" t="str">
        <f>IF(C540&gt;0,COUNT(C$132:C540),"")</f>
        <v/>
      </c>
      <c r="B540" s="1029" t="s">
        <v>1669</v>
      </c>
      <c r="C540" s="947"/>
      <c r="D540" s="1002"/>
      <c r="E540" s="949"/>
      <c r="F540" s="1008"/>
      <c r="S540" s="1046"/>
      <c r="T540" s="1004"/>
      <c r="U540" s="1046"/>
    </row>
    <row r="541" spans="1:21" x14ac:dyDescent="0.25">
      <c r="A541" s="1010" t="str">
        <f>IF(C541&gt;0,COUNT(C$132:C541),"")</f>
        <v/>
      </c>
      <c r="B541" s="946"/>
      <c r="C541" s="947"/>
      <c r="D541" s="1002"/>
      <c r="E541" s="949"/>
      <c r="F541" s="1008"/>
      <c r="S541" s="1046"/>
      <c r="T541" s="1004"/>
      <c r="U541" s="1046"/>
    </row>
    <row r="542" spans="1:21" x14ac:dyDescent="0.25">
      <c r="A542" s="1010" t="str">
        <f>IF(C542&gt;0,COUNT(C$132:C542),"")</f>
        <v/>
      </c>
      <c r="B542" s="1018" t="s">
        <v>106</v>
      </c>
      <c r="C542" s="947"/>
      <c r="D542" s="1002"/>
      <c r="E542" s="949"/>
      <c r="F542" s="1008"/>
      <c r="S542" s="1046"/>
      <c r="T542" s="1004"/>
      <c r="U542" s="1046"/>
    </row>
    <row r="543" spans="1:21" ht="45.6" customHeight="1" x14ac:dyDescent="0.25">
      <c r="A543" s="1010">
        <f>IF(C543&gt;0,COUNT(C$132:C543),"")</f>
        <v>112</v>
      </c>
      <c r="B543" s="946" t="s">
        <v>1670</v>
      </c>
      <c r="C543" s="947">
        <v>1</v>
      </c>
      <c r="D543" s="1002" t="s">
        <v>981</v>
      </c>
      <c r="E543" s="949">
        <v>635000</v>
      </c>
      <c r="F543" s="950">
        <f>E543*C543</f>
        <v>635000</v>
      </c>
      <c r="S543" s="1046"/>
      <c r="T543" s="1004"/>
      <c r="U543" s="1046"/>
    </row>
    <row r="544" spans="1:21" x14ac:dyDescent="0.25">
      <c r="A544" s="1010" t="str">
        <f>IF(C544&gt;0,COUNT(C$132:C544),"")</f>
        <v/>
      </c>
      <c r="B544" s="946"/>
      <c r="C544" s="947"/>
      <c r="D544" s="1052"/>
      <c r="E544" s="949"/>
      <c r="F544" s="1008"/>
      <c r="S544" s="1046"/>
      <c r="T544" s="1004"/>
      <c r="U544" s="1046"/>
    </row>
    <row r="545" spans="1:21" s="1055" customFormat="1" x14ac:dyDescent="0.25">
      <c r="A545" s="1010" t="str">
        <f>IF(C545&gt;0,COUNT(C$132:C545),"")</f>
        <v/>
      </c>
      <c r="B545" s="1018" t="s">
        <v>1671</v>
      </c>
      <c r="C545" s="947"/>
      <c r="D545" s="1002"/>
      <c r="E545" s="1053"/>
      <c r="F545" s="1042"/>
      <c r="G545" s="1054"/>
      <c r="S545" s="1056"/>
      <c r="T545" s="1057"/>
      <c r="U545" s="1056"/>
    </row>
    <row r="546" spans="1:21" s="1055" customFormat="1" ht="63.6" customHeight="1" x14ac:dyDescent="0.25">
      <c r="A546" s="1010">
        <f>IF(C546&gt;0,COUNT(C$132:C546),"")</f>
        <v>113</v>
      </c>
      <c r="B546" s="946" t="s">
        <v>1672</v>
      </c>
      <c r="C546" s="947">
        <v>24</v>
      </c>
      <c r="D546" s="1002" t="s">
        <v>1673</v>
      </c>
      <c r="E546" s="1041">
        <v>22500</v>
      </c>
      <c r="F546" s="1058">
        <f>E546*C546</f>
        <v>540000</v>
      </c>
      <c r="G546" s="1054"/>
      <c r="S546" s="1056"/>
      <c r="T546" s="1057"/>
      <c r="U546" s="1056"/>
    </row>
    <row r="547" spans="1:21" s="1055" customFormat="1" x14ac:dyDescent="0.25">
      <c r="A547" s="1010"/>
      <c r="B547" s="946"/>
      <c r="C547" s="947"/>
      <c r="D547" s="1002"/>
      <c r="E547" s="1041"/>
      <c r="F547" s="1058"/>
      <c r="G547" s="1054"/>
      <c r="S547" s="1056"/>
      <c r="T547" s="1057"/>
      <c r="U547" s="1056"/>
    </row>
    <row r="548" spans="1:21" s="1055" customFormat="1" x14ac:dyDescent="0.25">
      <c r="A548" s="1010"/>
      <c r="B548" s="946"/>
      <c r="C548" s="947"/>
      <c r="D548" s="1002"/>
      <c r="E548" s="1041"/>
      <c r="F548" s="1058"/>
      <c r="G548" s="1054"/>
      <c r="S548" s="1056"/>
      <c r="T548" s="1057"/>
      <c r="U548" s="1056"/>
    </row>
    <row r="549" spans="1:21" s="1055" customFormat="1" x14ac:dyDescent="0.25">
      <c r="A549" s="1010"/>
      <c r="B549" s="946"/>
      <c r="C549" s="947"/>
      <c r="D549" s="1002"/>
      <c r="E549" s="1041"/>
      <c r="F549" s="1058"/>
      <c r="G549" s="1054"/>
      <c r="S549" s="1056"/>
      <c r="T549" s="1057"/>
      <c r="U549" s="1056"/>
    </row>
    <row r="550" spans="1:21" s="1055" customFormat="1" x14ac:dyDescent="0.25">
      <c r="A550" s="1010" t="str">
        <f>IF(C550&gt;0,COUNT(C$132:C550),"")</f>
        <v/>
      </c>
      <c r="B550" s="946"/>
      <c r="C550" s="947"/>
      <c r="D550" s="1002"/>
      <c r="E550" s="1041"/>
      <c r="F550" s="1042"/>
      <c r="G550" s="1054"/>
      <c r="S550" s="1056"/>
      <c r="T550" s="1057"/>
      <c r="U550" s="1056"/>
    </row>
    <row r="551" spans="1:21" s="1055" customFormat="1" x14ac:dyDescent="0.25">
      <c r="A551" s="1010" t="str">
        <f>IF(C551&gt;0,COUNT(C$132:C551),"")</f>
        <v/>
      </c>
      <c r="B551" s="1018" t="s">
        <v>1674</v>
      </c>
      <c r="C551" s="947"/>
      <c r="D551" s="1002"/>
      <c r="E551" s="1041"/>
      <c r="F551" s="1042"/>
      <c r="G551" s="1054"/>
      <c r="S551" s="1056"/>
      <c r="T551" s="1057"/>
      <c r="U551" s="1056"/>
    </row>
    <row r="552" spans="1:21" s="1055" customFormat="1" ht="63" customHeight="1" x14ac:dyDescent="0.25">
      <c r="A552" s="1010">
        <f>IF(C552&gt;0,COUNT(C$132:C552),"")</f>
        <v>114</v>
      </c>
      <c r="B552" s="946" t="s">
        <v>1672</v>
      </c>
      <c r="C552" s="947">
        <v>15</v>
      </c>
      <c r="D552" s="1002" t="s">
        <v>1673</v>
      </c>
      <c r="E552" s="1053">
        <v>34500</v>
      </c>
      <c r="F552" s="1058">
        <f>E552*C552</f>
        <v>517500</v>
      </c>
      <c r="G552" s="1054"/>
      <c r="S552" s="1056"/>
      <c r="T552" s="1057"/>
      <c r="U552" s="1056"/>
    </row>
    <row r="553" spans="1:21" s="1055" customFormat="1" x14ac:dyDescent="0.25">
      <c r="A553" s="1396" t="str">
        <f>IF(C553&gt;0,COUNT(C$132:C553),"")</f>
        <v/>
      </c>
      <c r="B553" s="956"/>
      <c r="C553" s="1386"/>
      <c r="D553" s="1413"/>
      <c r="E553" s="1408"/>
      <c r="F553" s="1409"/>
      <c r="G553" s="1054"/>
      <c r="S553" s="1056"/>
      <c r="T553" s="1057"/>
      <c r="U553" s="1056"/>
    </row>
    <row r="554" spans="1:21" s="1055" customFormat="1" ht="76.8" customHeight="1" x14ac:dyDescent="0.25">
      <c r="A554" s="1398">
        <f>IF(C554&gt;0,COUNT(C$132:C554),"")</f>
        <v>115</v>
      </c>
      <c r="B554" s="1404" t="s">
        <v>1675</v>
      </c>
      <c r="C554" s="1390">
        <v>5</v>
      </c>
      <c r="D554" s="1391" t="s">
        <v>1673</v>
      </c>
      <c r="E554" s="1414">
        <v>6500</v>
      </c>
      <c r="F554" s="1415">
        <f>E554*C554</f>
        <v>32500</v>
      </c>
      <c r="G554" s="1054"/>
      <c r="S554" s="1056"/>
      <c r="T554" s="1057"/>
      <c r="U554" s="1056"/>
    </row>
    <row r="555" spans="1:21" x14ac:dyDescent="0.25">
      <c r="A555" s="1010" t="str">
        <f>IF(C555&gt;0,COUNT(C$132:C555),"")</f>
        <v/>
      </c>
      <c r="B555" s="946"/>
      <c r="C555" s="947"/>
      <c r="D555" s="1002"/>
      <c r="E555" s="949"/>
      <c r="F555" s="1008"/>
      <c r="S555" s="1046"/>
      <c r="T555" s="1004"/>
      <c r="U555" s="1046"/>
    </row>
    <row r="556" spans="1:21" ht="105.6" customHeight="1" x14ac:dyDescent="0.25">
      <c r="A556" s="1010">
        <f>IF(C556&gt;0,COUNT(C$132:C556),"")</f>
        <v>116</v>
      </c>
      <c r="B556" s="946" t="s">
        <v>1676</v>
      </c>
      <c r="C556" s="947">
        <v>8</v>
      </c>
      <c r="D556" s="1002" t="s">
        <v>1673</v>
      </c>
      <c r="E556" s="949">
        <v>18800</v>
      </c>
      <c r="F556" s="950">
        <f>E556*C556</f>
        <v>150400</v>
      </c>
      <c r="S556" s="1046"/>
      <c r="T556" s="1004"/>
      <c r="U556" s="1046"/>
    </row>
    <row r="557" spans="1:21" x14ac:dyDescent="0.25">
      <c r="A557" s="1010" t="str">
        <f>IF(C557&gt;0,COUNT(C$132:C557),"")</f>
        <v/>
      </c>
      <c r="B557" s="946"/>
      <c r="C557" s="947"/>
      <c r="D557" s="1002"/>
      <c r="E557" s="949"/>
      <c r="F557" s="1008"/>
      <c r="S557" s="1046"/>
      <c r="T557" s="1004"/>
      <c r="U557" s="1046"/>
    </row>
    <row r="558" spans="1:21" ht="105.6" customHeight="1" x14ac:dyDescent="0.25">
      <c r="A558" s="1010" t="str">
        <f>IF(C558&gt;0,COUNT(C$132:C558),"")</f>
        <v/>
      </c>
      <c r="B558" s="946" t="s">
        <v>1677</v>
      </c>
      <c r="C558" s="947"/>
      <c r="D558" s="1002"/>
      <c r="E558" s="949"/>
      <c r="F558" s="950">
        <f>E558*C558</f>
        <v>0</v>
      </c>
      <c r="S558" s="1046"/>
      <c r="T558" s="1004"/>
      <c r="U558" s="1046"/>
    </row>
    <row r="559" spans="1:21" x14ac:dyDescent="0.25">
      <c r="A559" s="1010" t="str">
        <f>IF(C559&gt;0,COUNT(C$132:C559),"")</f>
        <v/>
      </c>
      <c r="B559" s="946"/>
      <c r="C559" s="947"/>
      <c r="D559" s="1002"/>
      <c r="E559" s="949"/>
      <c r="F559" s="950"/>
      <c r="S559" s="1046"/>
      <c r="T559" s="1004"/>
      <c r="U559" s="1046"/>
    </row>
    <row r="560" spans="1:21" x14ac:dyDescent="0.25">
      <c r="A560" s="1010">
        <f>IF(C560&gt;0,COUNT(C$132:C560),"")</f>
        <v>117</v>
      </c>
      <c r="B560" s="946" t="s">
        <v>1678</v>
      </c>
      <c r="C560" s="947">
        <v>32</v>
      </c>
      <c r="D560" s="1002" t="s">
        <v>1673</v>
      </c>
      <c r="E560" s="949">
        <v>6500</v>
      </c>
      <c r="F560" s="950">
        <f t="shared" ref="F560:F564" si="0">E560*C560</f>
        <v>208000</v>
      </c>
      <c r="S560" s="1046"/>
      <c r="T560" s="1004"/>
      <c r="U560" s="1046"/>
    </row>
    <row r="561" spans="1:21" x14ac:dyDescent="0.25">
      <c r="A561" s="1010">
        <f>IF(C561&gt;0,COUNT(C$132:C561),"")</f>
        <v>118</v>
      </c>
      <c r="B561" s="946" t="s">
        <v>1679</v>
      </c>
      <c r="C561" s="947">
        <v>66</v>
      </c>
      <c r="D561" s="1002" t="s">
        <v>1673</v>
      </c>
      <c r="E561" s="949">
        <v>6500</v>
      </c>
      <c r="F561" s="950">
        <f t="shared" si="0"/>
        <v>429000</v>
      </c>
      <c r="S561" s="1046"/>
      <c r="T561" s="1004"/>
      <c r="U561" s="1046"/>
    </row>
    <row r="562" spans="1:21" x14ac:dyDescent="0.25">
      <c r="A562" s="1010">
        <f>IF(C562&gt;0,COUNT(C$132:C562),"")</f>
        <v>119</v>
      </c>
      <c r="B562" s="946" t="s">
        <v>1680</v>
      </c>
      <c r="C562" s="947">
        <v>78</v>
      </c>
      <c r="D562" s="1002" t="s">
        <v>1673</v>
      </c>
      <c r="E562" s="949">
        <v>6500</v>
      </c>
      <c r="F562" s="950">
        <f t="shared" si="0"/>
        <v>507000</v>
      </c>
      <c r="S562" s="1046"/>
      <c r="T562" s="1004"/>
      <c r="U562" s="1046"/>
    </row>
    <row r="563" spans="1:21" x14ac:dyDescent="0.25">
      <c r="A563" s="1010">
        <f>IF(C563&gt;0,COUNT(C$132:C563),"")</f>
        <v>120</v>
      </c>
      <c r="B563" s="946" t="s">
        <v>1681</v>
      </c>
      <c r="C563" s="947">
        <v>82</v>
      </c>
      <c r="D563" s="1002" t="s">
        <v>1673</v>
      </c>
      <c r="E563" s="949">
        <v>6500</v>
      </c>
      <c r="F563" s="950">
        <f t="shared" si="0"/>
        <v>533000</v>
      </c>
      <c r="S563" s="1046"/>
      <c r="T563" s="1004"/>
      <c r="U563" s="1046"/>
    </row>
    <row r="564" spans="1:21" x14ac:dyDescent="0.25">
      <c r="A564" s="1010">
        <f>IF(C564&gt;0,COUNT(C$132:C564),"")</f>
        <v>121</v>
      </c>
      <c r="B564" s="946" t="s">
        <v>1682</v>
      </c>
      <c r="C564" s="947">
        <v>36</v>
      </c>
      <c r="D564" s="1002" t="s">
        <v>1673</v>
      </c>
      <c r="E564" s="949">
        <v>6500</v>
      </c>
      <c r="F564" s="950">
        <f t="shared" si="0"/>
        <v>234000</v>
      </c>
      <c r="S564" s="1046"/>
      <c r="T564" s="1004"/>
      <c r="U564" s="1046"/>
    </row>
    <row r="565" spans="1:21" s="1055" customFormat="1" x14ac:dyDescent="0.25">
      <c r="A565" s="1010" t="str">
        <f>IF(C565&gt;0,COUNT(C$132:C565),"")</f>
        <v/>
      </c>
      <c r="B565" s="1038"/>
      <c r="C565" s="1039"/>
      <c r="D565" s="1040"/>
      <c r="E565" s="1041"/>
      <c r="F565" s="1058"/>
      <c r="G565" s="1054"/>
      <c r="S565" s="1056"/>
      <c r="T565" s="1057"/>
      <c r="U565" s="1056"/>
    </row>
    <row r="566" spans="1:21" s="1055" customFormat="1" ht="52.2" customHeight="1" x14ac:dyDescent="0.25">
      <c r="A566" s="1010">
        <f>IF(C566&gt;0,COUNT(C$132:C566),"")</f>
        <v>122</v>
      </c>
      <c r="B566" s="946" t="s">
        <v>1683</v>
      </c>
      <c r="C566" s="947">
        <v>1</v>
      </c>
      <c r="D566" s="1002" t="s">
        <v>13</v>
      </c>
      <c r="E566" s="1041">
        <v>4500</v>
      </c>
      <c r="F566" s="950">
        <f>E566*C566</f>
        <v>4500</v>
      </c>
      <c r="G566" s="1054"/>
      <c r="S566" s="1056"/>
      <c r="T566" s="1057"/>
      <c r="U566" s="1056"/>
    </row>
    <row r="567" spans="1:21" s="1055" customFormat="1" x14ac:dyDescent="0.25">
      <c r="A567" s="1010"/>
      <c r="B567" s="1038"/>
      <c r="C567" s="1039"/>
      <c r="D567" s="1040"/>
      <c r="E567" s="1041"/>
      <c r="F567" s="1058"/>
      <c r="G567" s="1054"/>
      <c r="S567" s="1056"/>
      <c r="T567" s="1057"/>
      <c r="U567" s="1056"/>
    </row>
    <row r="568" spans="1:21" ht="60" customHeight="1" x14ac:dyDescent="0.25">
      <c r="A568" s="1010">
        <f>IF(C568&gt;0,COUNT(C$132:C568),"")</f>
        <v>123</v>
      </c>
      <c r="B568" s="952" t="s">
        <v>1684</v>
      </c>
      <c r="C568" s="947">
        <v>1</v>
      </c>
      <c r="D568" s="1002" t="s">
        <v>13</v>
      </c>
      <c r="E568" s="949">
        <v>25000</v>
      </c>
      <c r="F568" s="950">
        <f>E568*C568</f>
        <v>25000</v>
      </c>
      <c r="S568" s="1046"/>
      <c r="T568" s="1004"/>
      <c r="U568" s="1046"/>
    </row>
    <row r="569" spans="1:21" x14ac:dyDescent="0.25">
      <c r="A569" s="1010" t="str">
        <f>IF(C569&gt;0,COUNT(C$132:C569),"")</f>
        <v/>
      </c>
      <c r="B569" s="946"/>
      <c r="C569" s="947"/>
      <c r="D569" s="1002"/>
      <c r="E569" s="949"/>
      <c r="F569" s="1008"/>
      <c r="S569" s="1046"/>
      <c r="T569" s="1004"/>
      <c r="U569" s="1046"/>
    </row>
    <row r="570" spans="1:21" ht="67.8" customHeight="1" x14ac:dyDescent="0.25">
      <c r="A570" s="1010">
        <f>IF(C570&gt;0,COUNT(C$132:C570),"")</f>
        <v>124</v>
      </c>
      <c r="B570" s="1019" t="s">
        <v>1685</v>
      </c>
      <c r="C570" s="947">
        <v>1</v>
      </c>
      <c r="D570" s="1002" t="s">
        <v>13</v>
      </c>
      <c r="E570" s="949">
        <v>200000</v>
      </c>
      <c r="F570" s="950">
        <f>E570*C570</f>
        <v>200000</v>
      </c>
      <c r="S570" s="1046"/>
      <c r="T570" s="1004"/>
      <c r="U570" s="1046"/>
    </row>
    <row r="571" spans="1:21" x14ac:dyDescent="0.25">
      <c r="A571" s="1010" t="str">
        <f>IF(C571&gt;0,COUNT(C$132:C571),"")</f>
        <v/>
      </c>
      <c r="B571" s="1059"/>
      <c r="C571" s="947"/>
      <c r="D571" s="1002"/>
      <c r="E571" s="949"/>
      <c r="F571" s="1008"/>
      <c r="S571" s="1046"/>
      <c r="T571" s="1004"/>
      <c r="U571" s="1046"/>
    </row>
    <row r="572" spans="1:21" s="1063" customFormat="1" ht="34.799999999999997" customHeight="1" x14ac:dyDescent="0.25">
      <c r="A572" s="1010">
        <f>IF(C572&gt;0,COUNT(C$132:C572),"")</f>
        <v>125</v>
      </c>
      <c r="B572" s="1019" t="s">
        <v>1686</v>
      </c>
      <c r="C572" s="1060">
        <v>1</v>
      </c>
      <c r="D572" s="1061" t="s">
        <v>13</v>
      </c>
      <c r="E572" s="1062">
        <v>50000</v>
      </c>
      <c r="F572" s="950">
        <f>E572*C572</f>
        <v>50000</v>
      </c>
    </row>
    <row r="573" spans="1:21" s="1063" customFormat="1" x14ac:dyDescent="0.25">
      <c r="A573" s="1010" t="str">
        <f>IF(C573&gt;0,COUNT(C$132:C573),"")</f>
        <v/>
      </c>
      <c r="B573" s="1019"/>
      <c r="C573" s="1060"/>
      <c r="D573" s="1061"/>
      <c r="E573" s="1062"/>
      <c r="F573" s="950"/>
    </row>
    <row r="574" spans="1:21" s="1063" customFormat="1" x14ac:dyDescent="0.25">
      <c r="A574" s="1010" t="str">
        <f>IF(C574&gt;0,COUNT(C$132:C574),"")</f>
        <v/>
      </c>
      <c r="B574" s="1018" t="s">
        <v>1687</v>
      </c>
      <c r="C574" s="947"/>
      <c r="D574" s="1002"/>
      <c r="E574" s="949"/>
      <c r="F574" s="1008"/>
    </row>
    <row r="575" spans="1:21" s="1063" customFormat="1" ht="36" customHeight="1" x14ac:dyDescent="0.25">
      <c r="A575" s="1010">
        <f>IF(C575&gt;0,COUNT(C$132:C575),"")</f>
        <v>126</v>
      </c>
      <c r="B575" s="1019" t="s">
        <v>1688</v>
      </c>
      <c r="C575" s="1060">
        <v>1</v>
      </c>
      <c r="D575" s="1061" t="s">
        <v>13</v>
      </c>
      <c r="E575" s="1062">
        <v>110000</v>
      </c>
      <c r="F575" s="950">
        <f>E575*C575</f>
        <v>110000</v>
      </c>
    </row>
    <row r="576" spans="1:21" s="1065" customFormat="1" x14ac:dyDescent="0.25">
      <c r="A576" s="1010" t="str">
        <f>IF(C576&gt;0,COUNT(C$132:C576),"")</f>
        <v/>
      </c>
      <c r="B576" s="1019"/>
      <c r="C576" s="947"/>
      <c r="D576" s="1002"/>
      <c r="E576" s="949"/>
      <c r="F576" s="1008"/>
      <c r="G576" s="1064"/>
      <c r="S576" s="1066"/>
      <c r="T576" s="1004"/>
      <c r="U576" s="1066"/>
    </row>
    <row r="577" spans="1:23" s="1063" customFormat="1" x14ac:dyDescent="0.25">
      <c r="A577" s="1010" t="str">
        <f>IF(C577&gt;0,COUNT(C$132:C577),"")</f>
        <v/>
      </c>
      <c r="B577" s="1018" t="s">
        <v>1689</v>
      </c>
      <c r="C577" s="947"/>
      <c r="D577" s="1002"/>
      <c r="E577" s="949"/>
      <c r="F577" s="1008"/>
    </row>
    <row r="578" spans="1:23" s="1063" customFormat="1" ht="34.200000000000003" customHeight="1" x14ac:dyDescent="0.25">
      <c r="A578" s="1010">
        <f>IF(C578&gt;0,COUNT(C$132:C578),"")</f>
        <v>127</v>
      </c>
      <c r="B578" s="946" t="s">
        <v>1690</v>
      </c>
      <c r="C578" s="947">
        <v>1</v>
      </c>
      <c r="D578" s="1002" t="s">
        <v>13</v>
      </c>
      <c r="E578" s="949">
        <v>60000</v>
      </c>
      <c r="F578" s="950">
        <f>E578*C578</f>
        <v>60000</v>
      </c>
    </row>
    <row r="579" spans="1:23" s="1063" customFormat="1" x14ac:dyDescent="0.25">
      <c r="A579" s="1010" t="str">
        <f>IF(C579&gt;0,COUNT(C$132:C579),"")</f>
        <v/>
      </c>
      <c r="B579" s="946"/>
      <c r="C579" s="947"/>
      <c r="D579" s="1002"/>
      <c r="E579" s="949"/>
      <c r="F579" s="1008"/>
    </row>
    <row r="580" spans="1:23" s="1063" customFormat="1" x14ac:dyDescent="0.25">
      <c r="A580" s="1010" t="str">
        <f>IF(C580&gt;0,COUNT(C$132:C580),"")</f>
        <v/>
      </c>
      <c r="B580" s="1018" t="s">
        <v>1691</v>
      </c>
      <c r="C580" s="947"/>
      <c r="D580" s="1002"/>
      <c r="E580" s="949"/>
      <c r="F580" s="1008"/>
    </row>
    <row r="581" spans="1:23" s="1063" customFormat="1" ht="17.399999999999999" customHeight="1" x14ac:dyDescent="0.25">
      <c r="A581" s="1010">
        <f>IF(C581&gt;0,COUNT(C$132:C581),"")</f>
        <v>128</v>
      </c>
      <c r="B581" s="1026" t="s">
        <v>1692</v>
      </c>
      <c r="C581" s="947">
        <v>1</v>
      </c>
      <c r="D581" s="1002" t="s">
        <v>13</v>
      </c>
      <c r="E581" s="949">
        <v>60000</v>
      </c>
      <c r="F581" s="950">
        <f>E581*C581</f>
        <v>60000</v>
      </c>
    </row>
    <row r="582" spans="1:23" s="1063" customFormat="1" x14ac:dyDescent="0.25">
      <c r="A582" s="1010" t="str">
        <f>IF(C582&gt;0,COUNT(C$132:C582),"")</f>
        <v/>
      </c>
      <c r="B582" s="946"/>
      <c r="C582" s="947"/>
      <c r="D582" s="1002"/>
      <c r="E582" s="949"/>
      <c r="F582" s="1008"/>
    </row>
    <row r="583" spans="1:23" s="1063" customFormat="1" ht="21" customHeight="1" x14ac:dyDescent="0.25">
      <c r="A583" s="1010" t="str">
        <f>IF(C583&gt;0,COUNT(C$132:C583),"")</f>
        <v/>
      </c>
      <c r="B583" s="1018" t="s">
        <v>1693</v>
      </c>
      <c r="C583" s="947"/>
      <c r="D583" s="1002"/>
      <c r="E583" s="949"/>
      <c r="F583" s="1008"/>
    </row>
    <row r="584" spans="1:23" s="1063" customFormat="1" ht="64.2" customHeight="1" x14ac:dyDescent="0.25">
      <c r="A584" s="1010">
        <f>IF(C584&gt;0,COUNT(C$132:C584),"")</f>
        <v>129</v>
      </c>
      <c r="B584" s="946" t="s">
        <v>1694</v>
      </c>
      <c r="C584" s="947">
        <v>1</v>
      </c>
      <c r="D584" s="1002" t="s">
        <v>13</v>
      </c>
      <c r="E584" s="949"/>
      <c r="F584" s="950">
        <f>E584*C584</f>
        <v>0</v>
      </c>
    </row>
    <row r="585" spans="1:23" s="1063" customFormat="1" x14ac:dyDescent="0.25">
      <c r="A585" s="1010" t="str">
        <f>IF(C585&gt;0,COUNT(C$132:C585),"")</f>
        <v/>
      </c>
      <c r="B585" s="946"/>
      <c r="C585" s="947"/>
      <c r="D585" s="1002"/>
      <c r="E585" s="949"/>
      <c r="F585" s="1008"/>
    </row>
    <row r="586" spans="1:23" s="1063" customFormat="1" x14ac:dyDescent="0.25">
      <c r="A586" s="1067" t="str">
        <f>IF(C586&gt;0,COUNT(C$117:C586),"")</f>
        <v/>
      </c>
      <c r="B586" s="1068" t="s">
        <v>1695</v>
      </c>
      <c r="C586" s="1069"/>
      <c r="D586" s="1070"/>
      <c r="E586" s="1071" t="s">
        <v>83</v>
      </c>
      <c r="F586" s="1416">
        <f>SUM(F133:F585)</f>
        <v>29037050</v>
      </c>
    </row>
    <row r="587" spans="1:23" s="1063" customFormat="1" x14ac:dyDescent="0.25">
      <c r="A587" s="1417"/>
      <c r="B587" s="1418"/>
      <c r="C587" s="1419"/>
      <c r="D587" s="1420"/>
      <c r="E587" s="1421"/>
      <c r="F587" s="1422"/>
    </row>
    <row r="588" spans="1:23" s="1065" customFormat="1" ht="27.6" x14ac:dyDescent="0.25">
      <c r="A588" s="1423"/>
      <c r="B588" s="995" t="s">
        <v>1696</v>
      </c>
      <c r="C588" s="1074"/>
      <c r="D588" s="1075"/>
      <c r="E588" s="1076"/>
      <c r="F588" s="1205"/>
      <c r="U588" s="1066"/>
      <c r="V588" s="1004"/>
      <c r="W588" s="1066"/>
    </row>
    <row r="589" spans="1:23" s="1065" customFormat="1" x14ac:dyDescent="0.25">
      <c r="A589" s="1423"/>
      <c r="B589" s="995"/>
      <c r="C589" s="1074"/>
      <c r="D589" s="1075"/>
      <c r="E589" s="1076"/>
      <c r="F589" s="1205"/>
      <c r="U589" s="1066"/>
      <c r="V589" s="1004"/>
      <c r="W589" s="1066"/>
    </row>
    <row r="590" spans="1:23" s="1065" customFormat="1" x14ac:dyDescent="0.25">
      <c r="A590" s="1423"/>
      <c r="B590" s="1006" t="s">
        <v>1697</v>
      </c>
      <c r="C590" s="1074"/>
      <c r="D590" s="1075"/>
      <c r="E590" s="1076"/>
      <c r="F590" s="1205"/>
      <c r="U590" s="1066"/>
      <c r="V590" s="1004"/>
      <c r="W590" s="1066"/>
    </row>
    <row r="591" spans="1:23" s="1065" customFormat="1" x14ac:dyDescent="0.25">
      <c r="A591" s="1423"/>
      <c r="B591" s="1006"/>
      <c r="C591" s="1074"/>
      <c r="D591" s="1075"/>
      <c r="E591" s="1076"/>
      <c r="F591" s="1205"/>
      <c r="U591" s="1066"/>
      <c r="V591" s="1004"/>
      <c r="W591" s="1066"/>
    </row>
    <row r="592" spans="1:23" s="1065" customFormat="1" x14ac:dyDescent="0.25">
      <c r="A592" s="1423"/>
      <c r="B592" s="1006" t="s">
        <v>1698</v>
      </c>
      <c r="C592" s="1074"/>
      <c r="D592" s="1075"/>
      <c r="E592" s="1076"/>
      <c r="F592" s="1205"/>
      <c r="U592" s="1066"/>
      <c r="V592" s="1004"/>
      <c r="W592" s="1066"/>
    </row>
    <row r="593" spans="1:23" s="1065" customFormat="1" x14ac:dyDescent="0.25">
      <c r="A593" s="1423"/>
      <c r="B593" s="1006"/>
      <c r="C593" s="1074"/>
      <c r="D593" s="1075"/>
      <c r="E593" s="1076"/>
      <c r="F593" s="1205"/>
      <c r="U593" s="1066"/>
      <c r="V593" s="1004"/>
      <c r="W593" s="1066"/>
    </row>
    <row r="594" spans="1:23" s="978" customFormat="1" x14ac:dyDescent="0.25">
      <c r="A594" s="1424"/>
      <c r="B594" s="995" t="s">
        <v>1699</v>
      </c>
      <c r="C594" s="1077"/>
      <c r="D594" s="1078"/>
      <c r="E594" s="1079"/>
      <c r="F594" s="1155"/>
      <c r="G594" s="977"/>
    </row>
    <row r="595" spans="1:23" s="978" customFormat="1" x14ac:dyDescent="0.25">
      <c r="A595" s="1424"/>
      <c r="B595" s="995"/>
      <c r="C595" s="1077"/>
      <c r="D595" s="1078"/>
      <c r="E595" s="1079"/>
      <c r="F595" s="1155"/>
      <c r="G595" s="977"/>
    </row>
    <row r="596" spans="1:23" s="978" customFormat="1" x14ac:dyDescent="0.25">
      <c r="A596" s="1424"/>
      <c r="B596" s="995" t="s">
        <v>1700</v>
      </c>
      <c r="C596" s="1077"/>
      <c r="D596" s="1078"/>
      <c r="E596" s="1079"/>
      <c r="F596" s="1155"/>
      <c r="G596" s="977"/>
    </row>
    <row r="597" spans="1:23" s="978" customFormat="1" x14ac:dyDescent="0.25">
      <c r="A597" s="1424"/>
      <c r="B597" s="995"/>
      <c r="C597" s="1077"/>
      <c r="D597" s="1078"/>
      <c r="E597" s="1079"/>
      <c r="F597" s="1155"/>
      <c r="G597" s="977"/>
    </row>
    <row r="598" spans="1:23" s="978" customFormat="1" x14ac:dyDescent="0.25">
      <c r="A598" s="1424"/>
      <c r="B598" s="995" t="s">
        <v>1701</v>
      </c>
      <c r="C598" s="1077"/>
      <c r="D598" s="1078"/>
      <c r="E598" s="1079"/>
      <c r="F598" s="1155"/>
      <c r="G598" s="977"/>
    </row>
    <row r="599" spans="1:23" s="978" customFormat="1" x14ac:dyDescent="0.25">
      <c r="A599" s="1424"/>
      <c r="B599" s="995"/>
      <c r="C599" s="1077"/>
      <c r="D599" s="1078"/>
      <c r="E599" s="1079"/>
      <c r="F599" s="1155"/>
      <c r="G599" s="977"/>
    </row>
    <row r="600" spans="1:23" s="1065" customFormat="1" x14ac:dyDescent="0.25">
      <c r="A600" s="1423"/>
      <c r="B600" s="1006" t="s">
        <v>1702</v>
      </c>
      <c r="C600" s="1074"/>
      <c r="D600" s="1075"/>
      <c r="E600" s="1076"/>
      <c r="F600" s="1205"/>
      <c r="U600" s="1066"/>
      <c r="V600" s="1004"/>
      <c r="W600" s="1066"/>
    </row>
    <row r="601" spans="1:23" s="1065" customFormat="1" x14ac:dyDescent="0.25">
      <c r="A601" s="1423"/>
      <c r="B601" s="1006"/>
      <c r="C601" s="1074"/>
      <c r="D601" s="1075"/>
      <c r="E601" s="1076"/>
      <c r="F601" s="1205"/>
      <c r="U601" s="1066"/>
      <c r="V601" s="1004"/>
      <c r="W601" s="1066"/>
    </row>
    <row r="602" spans="1:23" s="1065" customFormat="1" x14ac:dyDescent="0.25">
      <c r="A602" s="1423"/>
      <c r="B602" s="1006" t="s">
        <v>1703</v>
      </c>
      <c r="C602" s="1074"/>
      <c r="D602" s="1075"/>
      <c r="E602" s="1076"/>
      <c r="F602" s="1205"/>
      <c r="U602" s="1066"/>
      <c r="V602" s="1004"/>
      <c r="W602" s="1066"/>
    </row>
    <row r="603" spans="1:23" s="1065" customFormat="1" x14ac:dyDescent="0.25">
      <c r="A603" s="1423"/>
      <c r="B603" s="1006"/>
      <c r="C603" s="1074"/>
      <c r="D603" s="1075"/>
      <c r="E603" s="1076"/>
      <c r="F603" s="1205"/>
      <c r="U603" s="1066"/>
      <c r="V603" s="1004"/>
      <c r="W603" s="1066"/>
    </row>
    <row r="604" spans="1:23" s="1065" customFormat="1" x14ac:dyDescent="0.25">
      <c r="A604" s="1423"/>
      <c r="B604" s="1006" t="s">
        <v>1704</v>
      </c>
      <c r="C604" s="1074"/>
      <c r="D604" s="1075"/>
      <c r="E604" s="1076"/>
      <c r="F604" s="1205"/>
      <c r="U604" s="1066"/>
      <c r="V604" s="1004"/>
      <c r="W604" s="1066"/>
    </row>
    <row r="605" spans="1:23" s="1065" customFormat="1" x14ac:dyDescent="0.25">
      <c r="A605" s="1423"/>
      <c r="B605" s="1006"/>
      <c r="C605" s="1074"/>
      <c r="D605" s="1075"/>
      <c r="E605" s="1076"/>
      <c r="F605" s="1205"/>
      <c r="U605" s="1066"/>
      <c r="V605" s="1004"/>
      <c r="W605" s="1066"/>
    </row>
    <row r="606" spans="1:23" s="1065" customFormat="1" x14ac:dyDescent="0.25">
      <c r="A606" s="1423"/>
      <c r="B606" s="1006" t="s">
        <v>1705</v>
      </c>
      <c r="C606" s="1074"/>
      <c r="D606" s="1075"/>
      <c r="E606" s="1076"/>
      <c r="F606" s="1205"/>
      <c r="U606" s="1066"/>
      <c r="V606" s="1004"/>
      <c r="W606" s="1066"/>
    </row>
    <row r="607" spans="1:23" s="1065" customFormat="1" x14ac:dyDescent="0.25">
      <c r="A607" s="1423"/>
      <c r="B607" s="1006"/>
      <c r="C607" s="1074"/>
      <c r="D607" s="1075"/>
      <c r="E607" s="1076"/>
      <c r="F607" s="1205"/>
      <c r="U607" s="1066"/>
      <c r="V607" s="1004"/>
      <c r="W607" s="1066"/>
    </row>
    <row r="608" spans="1:23" s="1065" customFormat="1" x14ac:dyDescent="0.25">
      <c r="A608" s="1423"/>
      <c r="B608" s="1006" t="s">
        <v>1706</v>
      </c>
      <c r="C608" s="1074"/>
      <c r="D608" s="1075"/>
      <c r="E608" s="1076"/>
      <c r="F608" s="1205"/>
      <c r="U608" s="1066"/>
      <c r="V608" s="1004"/>
      <c r="W608" s="1066"/>
    </row>
    <row r="609" spans="1:23" s="1065" customFormat="1" x14ac:dyDescent="0.25">
      <c r="A609" s="1423"/>
      <c r="B609" s="1006"/>
      <c r="C609" s="1074"/>
      <c r="D609" s="1075"/>
      <c r="E609" s="1076"/>
      <c r="F609" s="1205"/>
      <c r="U609" s="1066"/>
      <c r="V609" s="1004"/>
      <c r="W609" s="1066"/>
    </row>
    <row r="610" spans="1:23" s="1065" customFormat="1" x14ac:dyDescent="0.25">
      <c r="A610" s="1423"/>
      <c r="B610" s="1006" t="s">
        <v>1707</v>
      </c>
      <c r="C610" s="1074"/>
      <c r="D610" s="1075"/>
      <c r="E610" s="1076"/>
      <c r="F610" s="1205"/>
      <c r="U610" s="1066"/>
      <c r="V610" s="1004"/>
      <c r="W610" s="1066"/>
    </row>
    <row r="611" spans="1:23" s="1065" customFormat="1" x14ac:dyDescent="0.25">
      <c r="A611" s="1423"/>
      <c r="B611" s="986"/>
      <c r="C611" s="1074"/>
      <c r="D611" s="1075"/>
      <c r="E611" s="1076"/>
      <c r="F611" s="1205"/>
      <c r="U611" s="1066"/>
      <c r="V611" s="1004"/>
      <c r="W611" s="1066"/>
    </row>
    <row r="612" spans="1:23" s="1065" customFormat="1" x14ac:dyDescent="0.25">
      <c r="A612" s="1423"/>
      <c r="B612" s="1006" t="s">
        <v>1708</v>
      </c>
      <c r="C612" s="1074"/>
      <c r="D612" s="1075"/>
      <c r="E612" s="1076"/>
      <c r="F612" s="1205"/>
      <c r="U612" s="1066"/>
      <c r="V612" s="1004"/>
      <c r="W612" s="1066"/>
    </row>
    <row r="613" spans="1:23" s="1065" customFormat="1" x14ac:dyDescent="0.25">
      <c r="A613" s="1423"/>
      <c r="B613" s="1006"/>
      <c r="C613" s="1074"/>
      <c r="D613" s="1075"/>
      <c r="E613" s="1076"/>
      <c r="F613" s="1205"/>
      <c r="U613" s="1066"/>
      <c r="V613" s="1004"/>
      <c r="W613" s="1066"/>
    </row>
    <row r="614" spans="1:23" s="1065" customFormat="1" x14ac:dyDescent="0.25">
      <c r="A614" s="1423"/>
      <c r="B614" s="1006" t="s">
        <v>1709</v>
      </c>
      <c r="C614" s="1074"/>
      <c r="D614" s="1075"/>
      <c r="E614" s="1076"/>
      <c r="F614" s="1205"/>
      <c r="U614" s="1066"/>
      <c r="V614" s="1004"/>
      <c r="W614" s="1066"/>
    </row>
    <row r="615" spans="1:23" s="1063" customFormat="1" x14ac:dyDescent="0.25">
      <c r="A615" s="1423"/>
      <c r="B615" s="1073"/>
      <c r="C615" s="1074"/>
      <c r="D615" s="1075"/>
      <c r="E615" s="1076"/>
      <c r="F615" s="1205"/>
    </row>
    <row r="616" spans="1:23" s="978" customFormat="1" x14ac:dyDescent="0.25">
      <c r="A616" s="1424"/>
      <c r="B616" s="1080" t="s">
        <v>1710</v>
      </c>
      <c r="C616" s="1077"/>
      <c r="D616" s="1078"/>
      <c r="E616" s="1079"/>
      <c r="F616" s="1155"/>
      <c r="G616" s="977"/>
    </row>
    <row r="617" spans="1:23" s="978" customFormat="1" x14ac:dyDescent="0.25">
      <c r="A617" s="1424"/>
      <c r="B617" s="995"/>
      <c r="C617" s="1077"/>
      <c r="D617" s="1078"/>
      <c r="E617" s="1079"/>
      <c r="F617" s="1155"/>
      <c r="G617" s="977"/>
    </row>
    <row r="618" spans="1:23" s="978" customFormat="1" x14ac:dyDescent="0.25">
      <c r="A618" s="1424"/>
      <c r="B618" s="995" t="s">
        <v>1711</v>
      </c>
      <c r="C618" s="1077"/>
      <c r="D618" s="1078"/>
      <c r="E618" s="1079"/>
      <c r="F618" s="1155"/>
      <c r="G618" s="977"/>
      <c r="S618" s="1003"/>
      <c r="T618" s="1004"/>
      <c r="U618" s="1003"/>
    </row>
    <row r="619" spans="1:23" s="978" customFormat="1" x14ac:dyDescent="0.25">
      <c r="A619" s="1424"/>
      <c r="B619" s="995"/>
      <c r="C619" s="1077"/>
      <c r="D619" s="1078"/>
      <c r="E619" s="1079"/>
      <c r="F619" s="1155"/>
      <c r="G619" s="977"/>
      <c r="S619" s="1003"/>
      <c r="T619" s="1004"/>
      <c r="U619" s="1003"/>
    </row>
    <row r="620" spans="1:23" s="978" customFormat="1" x14ac:dyDescent="0.25">
      <c r="A620" s="1424"/>
      <c r="B620" s="995" t="s">
        <v>1712</v>
      </c>
      <c r="C620" s="1077"/>
      <c r="D620" s="1078"/>
      <c r="E620" s="1079"/>
      <c r="F620" s="1155"/>
      <c r="G620" s="977"/>
      <c r="S620" s="1003"/>
      <c r="T620" s="1004"/>
      <c r="U620" s="1003"/>
    </row>
    <row r="621" spans="1:23" s="978" customFormat="1" x14ac:dyDescent="0.25">
      <c r="A621" s="1424"/>
      <c r="B621" s="995"/>
      <c r="C621" s="1077"/>
      <c r="D621" s="1078"/>
      <c r="E621" s="1079"/>
      <c r="F621" s="1155"/>
      <c r="G621" s="977"/>
      <c r="S621" s="1003"/>
      <c r="T621" s="1004"/>
      <c r="U621" s="1003"/>
    </row>
    <row r="622" spans="1:23" s="1063" customFormat="1" ht="41.4" x14ac:dyDescent="0.25">
      <c r="A622" s="1425"/>
      <c r="B622" s="1082" t="s">
        <v>1713</v>
      </c>
      <c r="C622" s="1083"/>
      <c r="D622" s="1084"/>
      <c r="E622" s="1085"/>
      <c r="F622" s="1426"/>
    </row>
    <row r="623" spans="1:23" s="1063" customFormat="1" x14ac:dyDescent="0.25">
      <c r="A623" s="1425"/>
      <c r="B623" s="1082"/>
      <c r="C623" s="1083"/>
      <c r="D623" s="1084"/>
      <c r="E623" s="1085"/>
      <c r="F623" s="1426"/>
    </row>
    <row r="624" spans="1:23" s="1063" customFormat="1" ht="27.6" x14ac:dyDescent="0.25">
      <c r="A624" s="1425"/>
      <c r="B624" s="1086" t="s">
        <v>1714</v>
      </c>
      <c r="C624" s="1083"/>
      <c r="D624" s="1084"/>
      <c r="E624" s="1085"/>
      <c r="F624" s="1426"/>
    </row>
    <row r="625" spans="1:21" s="1063" customFormat="1" x14ac:dyDescent="0.25">
      <c r="A625" s="1425"/>
      <c r="B625" s="1082"/>
      <c r="C625" s="1083"/>
      <c r="D625" s="1084"/>
      <c r="E625" s="1085"/>
      <c r="F625" s="1426"/>
    </row>
    <row r="626" spans="1:21" s="1063" customFormat="1" ht="41.4" x14ac:dyDescent="0.25">
      <c r="A626" s="1425"/>
      <c r="B626" s="983" t="s">
        <v>1715</v>
      </c>
      <c r="C626" s="1083"/>
      <c r="D626" s="1084"/>
      <c r="E626" s="1085"/>
      <c r="F626" s="1427"/>
    </row>
    <row r="627" spans="1:21" s="1063" customFormat="1" x14ac:dyDescent="0.25">
      <c r="A627" s="1425"/>
      <c r="B627" s="1088"/>
      <c r="C627" s="1083"/>
      <c r="D627" s="1084"/>
      <c r="E627" s="1085"/>
      <c r="F627" s="1427"/>
    </row>
    <row r="628" spans="1:21" s="1063" customFormat="1" x14ac:dyDescent="0.25">
      <c r="A628" s="1425"/>
      <c r="B628" s="1088"/>
      <c r="C628" s="1083"/>
      <c r="D628" s="1084"/>
      <c r="E628" s="1085"/>
      <c r="F628" s="1427"/>
    </row>
    <row r="629" spans="1:21" s="1063" customFormat="1" x14ac:dyDescent="0.25">
      <c r="A629" s="1425"/>
      <c r="B629" s="1089" t="s">
        <v>1716</v>
      </c>
      <c r="C629" s="1083"/>
      <c r="D629" s="1084"/>
      <c r="E629" s="1085"/>
      <c r="F629" s="1427"/>
    </row>
    <row r="630" spans="1:21" s="1063" customFormat="1" x14ac:dyDescent="0.25">
      <c r="A630" s="1425"/>
      <c r="B630" s="1089"/>
      <c r="C630" s="1083"/>
      <c r="D630" s="1084"/>
      <c r="E630" s="1085"/>
      <c r="F630" s="1427"/>
    </row>
    <row r="631" spans="1:21" s="1063" customFormat="1" x14ac:dyDescent="0.25">
      <c r="A631" s="1425"/>
      <c r="B631" s="1089"/>
      <c r="C631" s="1083"/>
      <c r="D631" s="1084"/>
      <c r="E631" s="1085"/>
      <c r="F631" s="1427"/>
    </row>
    <row r="632" spans="1:21" s="1063" customFormat="1" x14ac:dyDescent="0.25">
      <c r="A632" s="1425"/>
      <c r="B632" s="1089"/>
      <c r="C632" s="1083"/>
      <c r="D632" s="1084"/>
      <c r="E632" s="1085"/>
      <c r="F632" s="1427"/>
    </row>
    <row r="633" spans="1:21" s="1063" customFormat="1" x14ac:dyDescent="0.25">
      <c r="A633" s="1425"/>
      <c r="B633" s="1089" t="s">
        <v>1717</v>
      </c>
      <c r="C633" s="1083"/>
      <c r="D633" s="1084"/>
      <c r="E633" s="1085"/>
      <c r="F633" s="1427"/>
    </row>
    <row r="634" spans="1:21" s="1063" customFormat="1" x14ac:dyDescent="0.25">
      <c r="A634" s="1425"/>
      <c r="B634" s="1089"/>
      <c r="C634" s="1083"/>
      <c r="D634" s="1084"/>
      <c r="E634" s="1085"/>
      <c r="F634" s="1427"/>
    </row>
    <row r="635" spans="1:21" x14ac:dyDescent="0.25">
      <c r="A635" s="1425"/>
      <c r="B635" s="1089"/>
      <c r="C635" s="1083"/>
      <c r="D635" s="1084"/>
      <c r="E635" s="1088"/>
      <c r="F635" s="1428"/>
      <c r="S635" s="1046"/>
      <c r="T635" s="1004"/>
      <c r="U635" s="1046"/>
    </row>
    <row r="636" spans="1:21" x14ac:dyDescent="0.25">
      <c r="A636" s="1425"/>
      <c r="B636" s="1089"/>
      <c r="C636" s="1083"/>
      <c r="D636" s="1084"/>
      <c r="E636" s="1088"/>
      <c r="F636" s="1428"/>
      <c r="S636" s="1046"/>
      <c r="T636" s="1004"/>
      <c r="U636" s="1046"/>
    </row>
    <row r="637" spans="1:21" x14ac:dyDescent="0.25">
      <c r="A637" s="1425"/>
      <c r="B637" s="1089" t="s">
        <v>1718</v>
      </c>
      <c r="C637" s="1083"/>
      <c r="D637" s="1084"/>
      <c r="E637" s="1088"/>
      <c r="F637" s="1428"/>
      <c r="S637" s="1046"/>
      <c r="T637" s="1004"/>
      <c r="U637" s="1046"/>
    </row>
    <row r="638" spans="1:21" x14ac:dyDescent="0.25">
      <c r="A638" s="1425"/>
      <c r="B638" s="1089"/>
      <c r="C638" s="1083"/>
      <c r="D638" s="1084"/>
      <c r="E638" s="1088"/>
      <c r="F638" s="1428"/>
    </row>
    <row r="639" spans="1:21" x14ac:dyDescent="0.25">
      <c r="A639" s="1425"/>
      <c r="B639" s="1089"/>
      <c r="C639" s="1083"/>
      <c r="D639" s="1084"/>
      <c r="E639" s="1088"/>
      <c r="F639" s="1428"/>
    </row>
    <row r="640" spans="1:21" x14ac:dyDescent="0.25">
      <c r="A640" s="1425"/>
      <c r="B640" s="1089"/>
      <c r="C640" s="1083"/>
      <c r="D640" s="1084"/>
      <c r="E640" s="1088"/>
      <c r="F640" s="1428"/>
    </row>
    <row r="641" spans="1:6" x14ac:dyDescent="0.25">
      <c r="A641" s="1429"/>
      <c r="B641" s="1430" t="s">
        <v>1719</v>
      </c>
      <c r="C641" s="1431"/>
      <c r="D641" s="1432"/>
      <c r="E641" s="1433"/>
      <c r="F641" s="1434"/>
    </row>
    <row r="642" spans="1:6" x14ac:dyDescent="0.25">
      <c r="A642" s="1081"/>
      <c r="B642" s="1088"/>
      <c r="C642" s="1083"/>
      <c r="D642" s="1084"/>
      <c r="E642" s="1085"/>
      <c r="F642" s="1087"/>
    </row>
    <row r="673" spans="1:23" s="1090" customFormat="1" x14ac:dyDescent="0.25">
      <c r="A673" s="1091"/>
      <c r="B673" s="1045"/>
      <c r="D673" s="1093"/>
      <c r="E673" s="1094"/>
      <c r="F673" s="1095"/>
      <c r="G673" s="965"/>
      <c r="H673" s="1045"/>
      <c r="I673" s="1045"/>
      <c r="J673" s="1045"/>
      <c r="K673" s="1045"/>
      <c r="L673" s="1045"/>
      <c r="M673" s="1045"/>
      <c r="N673" s="1045"/>
      <c r="O673" s="1045"/>
      <c r="P673" s="1045"/>
      <c r="Q673" s="1045"/>
      <c r="R673" s="1045"/>
      <c r="S673" s="1045"/>
      <c r="T673" s="1045"/>
      <c r="U673" s="1045"/>
      <c r="V673" s="1045"/>
      <c r="W673" s="1045"/>
    </row>
  </sheetData>
  <protectedRanges>
    <protectedRange password="D55D" sqref="B117:B118 B120:B130" name="Range1_3_1_1"/>
    <protectedRange password="D55D" sqref="B119" name="Range1_3_1_1_3"/>
    <protectedRange password="D55D" sqref="B409 B337 B411 B377 B347 B343 B381 B383:B384 B514:B516 B520:B521 B534 B532 B444 B403 B446 B438 B442 B448:B449 B475 B479 B379 B481 B339:B341 B518 B413 B345 B407 B487 B415:B416 B483 B485 B471" name="Range1_3_1_1_6_9_3"/>
    <protectedRange password="D55D" sqref="B376 B441 B408 B443 B437 B480 B338 B478 B513 B336 B406 B470 B378 B402 B474" name="Range1_3_1_1_6_9_8"/>
    <protectedRange password="D55D" sqref="B257:B260 B133 B148 B169:B171 B186:B189 B222:B225 B204:B207 B194:B197 B159:B162 B233:B236 B176:B179 B281 B265:B266 B268 B239:B242 B248:B251 B212:B215" name="Range1_3_1_1_6_24"/>
    <protectedRange password="D55D" sqref="B348 B350 B488 B490 B523 B352 B354 B386 B388 B418 B537 B451 B453 B492 B494 B525 B527" name="Range1_3_1_1_6_7_7_2_1"/>
    <protectedRange password="D55D" sqref="B282 B284:B286 B288:B290" name="Range1_3_1_1_6_2_1_1"/>
    <protectedRange password="D55D" sqref="B37" name="Range1_3_1_1_1_1"/>
    <protectedRange sqref="G572:G573 G575" name="Range1_4_1_1_2_1_1_2_1"/>
    <protectedRange password="D55D" sqref="B531" name="Range1_3_1_1_6_9_8_1"/>
    <protectedRange password="D55D" sqref="B132" name="Range1_3_1_1_1"/>
    <protectedRange password="D55D" sqref="B439" name="Range1_3_1_1_6_7_7_2_2"/>
    <protectedRange password="D55D" sqref="B371 B508" name="Range1_3_1_1_6_7_7"/>
    <protectedRange password="D55D" sqref="B277:B278" name="Range1_3_1_1_6_24_3"/>
    <protectedRange password="D55D" sqref="B539" name="Range1_3_1_1_6_9_3_1_1_2"/>
  </protectedRanges>
  <mergeCells count="1">
    <mergeCell ref="A3:B3"/>
  </mergeCells>
  <pageMargins left="0.74803149606299213" right="0.31496062992125984" top="0.6692913385826772" bottom="0.59055118110236227" header="0.31496062992125984" footer="0.31496062992125984"/>
  <pageSetup paperSize="9" scale="76" fitToHeight="0" orientation="portrait" r:id="rId1"/>
  <headerFooter>
    <oddHeader xml:space="preserve">&amp;R&amp;"Arial,Italic"BOQ - Electrical System
</oddHeader>
    <oddFooter>Page &amp;P of &amp;N</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L339"/>
  <sheetViews>
    <sheetView view="pageBreakPreview" topLeftCell="A125" zoomScale="96" zoomScaleNormal="85" zoomScaleSheetLayoutView="96" workbookViewId="0">
      <selection activeCell="C87" sqref="C87"/>
    </sheetView>
  </sheetViews>
  <sheetFormatPr defaultColWidth="9.21875" defaultRowHeight="13.8" x14ac:dyDescent="0.25"/>
  <cols>
    <col min="1" max="1" width="8.21875" style="38" customWidth="1"/>
    <col min="2" max="2" width="46.21875" style="36" customWidth="1"/>
    <col min="3" max="3" width="8.44140625" style="579" bestFit="1" customWidth="1"/>
    <col min="4" max="4" width="5.44140625" style="579" bestFit="1" customWidth="1"/>
    <col min="5" max="5" width="13.6640625" style="580" bestFit="1" customWidth="1"/>
    <col min="6" max="6" width="13.21875" style="579" bestFit="1" customWidth="1"/>
    <col min="7" max="7" width="11.44140625" style="24" bestFit="1" customWidth="1"/>
    <col min="8" max="8" width="12.44140625" style="24" bestFit="1" customWidth="1"/>
    <col min="9" max="9" width="10" style="24" bestFit="1" customWidth="1"/>
    <col min="10" max="10" width="11" style="24" bestFit="1" customWidth="1"/>
    <col min="11" max="12" width="12.88671875" style="24" bestFit="1" customWidth="1"/>
    <col min="13" max="13" width="10.33203125" style="24" bestFit="1" customWidth="1"/>
    <col min="14" max="16384" width="9.21875" style="24"/>
  </cols>
  <sheetData>
    <row r="1" spans="1:6" s="31" customFormat="1" ht="14.4" thickBot="1" x14ac:dyDescent="0.3">
      <c r="A1" s="642" t="s">
        <v>0</v>
      </c>
      <c r="B1" s="643" t="s">
        <v>1</v>
      </c>
      <c r="C1" s="644" t="s">
        <v>2</v>
      </c>
      <c r="D1" s="645" t="s">
        <v>3</v>
      </c>
      <c r="E1" s="646" t="s">
        <v>4</v>
      </c>
      <c r="F1" s="647" t="s">
        <v>5</v>
      </c>
    </row>
    <row r="2" spans="1:6" s="12" customFormat="1" ht="28.05" customHeight="1" x14ac:dyDescent="0.25">
      <c r="A2" s="319"/>
      <c r="B2" s="320" t="s">
        <v>314</v>
      </c>
      <c r="C2" s="329"/>
      <c r="D2" s="329"/>
      <c r="E2" s="783"/>
      <c r="F2" s="329"/>
    </row>
    <row r="3" spans="1:6" s="12" customFormat="1" x14ac:dyDescent="0.25">
      <c r="A3" s="298"/>
      <c r="B3" s="784" t="s">
        <v>175</v>
      </c>
      <c r="C3" s="907"/>
      <c r="D3" s="907"/>
      <c r="E3" s="908"/>
      <c r="F3" s="907"/>
    </row>
    <row r="4" spans="1:6" s="12" customFormat="1" ht="58.2" customHeight="1" x14ac:dyDescent="0.25">
      <c r="A4" s="298"/>
      <c r="B4" s="785" t="s">
        <v>904</v>
      </c>
      <c r="C4" s="907"/>
      <c r="D4" s="907"/>
      <c r="E4" s="908"/>
      <c r="F4" s="907"/>
    </row>
    <row r="5" spans="1:6" s="12" customFormat="1" x14ac:dyDescent="0.25">
      <c r="A5" s="298"/>
      <c r="B5" s="785"/>
      <c r="C5" s="907"/>
      <c r="D5" s="907"/>
      <c r="E5" s="908"/>
      <c r="F5" s="907"/>
    </row>
    <row r="6" spans="1:6" s="12" customFormat="1" ht="39.6" x14ac:dyDescent="0.25">
      <c r="A6" s="298"/>
      <c r="B6" s="785" t="s">
        <v>1370</v>
      </c>
      <c r="C6" s="907"/>
      <c r="D6" s="907"/>
      <c r="E6" s="908"/>
      <c r="F6" s="907"/>
    </row>
    <row r="7" spans="1:6" s="12" customFormat="1" x14ac:dyDescent="0.25">
      <c r="A7" s="298"/>
      <c r="B7" s="785"/>
      <c r="C7" s="907"/>
      <c r="D7" s="907"/>
      <c r="E7" s="908"/>
      <c r="F7" s="907"/>
    </row>
    <row r="8" spans="1:6" s="12" customFormat="1" ht="66" x14ac:dyDescent="0.25">
      <c r="A8" s="298"/>
      <c r="B8" s="786" t="s">
        <v>905</v>
      </c>
      <c r="C8" s="907"/>
      <c r="D8" s="907"/>
      <c r="E8" s="908"/>
      <c r="F8" s="907"/>
    </row>
    <row r="9" spans="1:6" s="12" customFormat="1" x14ac:dyDescent="0.25">
      <c r="A9" s="298"/>
      <c r="B9" s="785"/>
      <c r="C9" s="907"/>
      <c r="D9" s="907"/>
      <c r="E9" s="908"/>
      <c r="F9" s="907"/>
    </row>
    <row r="10" spans="1:6" s="12" customFormat="1" ht="52.8" x14ac:dyDescent="0.25">
      <c r="A10" s="298"/>
      <c r="B10" s="785" t="s">
        <v>906</v>
      </c>
      <c r="C10" s="907"/>
      <c r="D10" s="907"/>
      <c r="E10" s="908"/>
      <c r="F10" s="907"/>
    </row>
    <row r="11" spans="1:6" s="12" customFormat="1" x14ac:dyDescent="0.25">
      <c r="A11" s="298"/>
      <c r="B11" s="785"/>
      <c r="C11" s="907"/>
      <c r="D11" s="907"/>
      <c r="E11" s="908"/>
      <c r="F11" s="907"/>
    </row>
    <row r="12" spans="1:6" s="12" customFormat="1" ht="135.6" customHeight="1" x14ac:dyDescent="0.25">
      <c r="A12" s="298"/>
      <c r="B12" s="785" t="s">
        <v>907</v>
      </c>
      <c r="C12" s="907"/>
      <c r="D12" s="907"/>
      <c r="E12" s="908"/>
      <c r="F12" s="907"/>
    </row>
    <row r="13" spans="1:6" s="12" customFormat="1" x14ac:dyDescent="0.25">
      <c r="A13" s="298"/>
      <c r="B13" s="785"/>
      <c r="C13" s="907"/>
      <c r="D13" s="907"/>
      <c r="E13" s="908"/>
      <c r="F13" s="907"/>
    </row>
    <row r="14" spans="1:6" s="12" customFormat="1" ht="34.799999999999997" customHeight="1" x14ac:dyDescent="0.25">
      <c r="A14" s="298"/>
      <c r="B14" s="785" t="s">
        <v>908</v>
      </c>
      <c r="C14" s="907"/>
      <c r="D14" s="907"/>
      <c r="E14" s="908"/>
      <c r="F14" s="907"/>
    </row>
    <row r="15" spans="1:6" s="12" customFormat="1" x14ac:dyDescent="0.25">
      <c r="A15" s="298"/>
      <c r="B15" s="785"/>
      <c r="C15" s="907"/>
      <c r="D15" s="907"/>
      <c r="E15" s="908"/>
      <c r="F15" s="907"/>
    </row>
    <row r="16" spans="1:6" s="12" customFormat="1" ht="80.400000000000006" customHeight="1" x14ac:dyDescent="0.25">
      <c r="A16" s="298"/>
      <c r="B16" s="785" t="s">
        <v>909</v>
      </c>
      <c r="C16" s="907"/>
      <c r="D16" s="907"/>
      <c r="E16" s="908"/>
      <c r="F16" s="907"/>
    </row>
    <row r="17" spans="1:6" s="12" customFormat="1" ht="39.6" x14ac:dyDescent="0.25">
      <c r="A17" s="298"/>
      <c r="B17" s="785" t="s">
        <v>910</v>
      </c>
      <c r="C17" s="907"/>
      <c r="D17" s="907"/>
      <c r="E17" s="908"/>
      <c r="F17" s="907"/>
    </row>
    <row r="18" spans="1:6" s="12" customFormat="1" ht="39.6" x14ac:dyDescent="0.25">
      <c r="A18" s="298"/>
      <c r="B18" s="785" t="s">
        <v>911</v>
      </c>
      <c r="C18" s="907"/>
      <c r="D18" s="907"/>
      <c r="E18" s="908"/>
      <c r="F18" s="907"/>
    </row>
    <row r="19" spans="1:6" s="12" customFormat="1" ht="39.6" x14ac:dyDescent="0.25">
      <c r="A19" s="298"/>
      <c r="B19" s="785" t="s">
        <v>912</v>
      </c>
      <c r="C19" s="907"/>
      <c r="D19" s="907"/>
      <c r="E19" s="908"/>
      <c r="F19" s="907"/>
    </row>
    <row r="20" spans="1:6" s="12" customFormat="1" x14ac:dyDescent="0.25">
      <c r="A20" s="298"/>
      <c r="B20" s="785"/>
      <c r="C20" s="907"/>
      <c r="D20" s="907"/>
      <c r="E20" s="908"/>
      <c r="F20" s="907"/>
    </row>
    <row r="21" spans="1:6" s="12" customFormat="1" ht="52.8" x14ac:dyDescent="0.25">
      <c r="A21" s="298"/>
      <c r="B21" s="785" t="s">
        <v>913</v>
      </c>
      <c r="C21" s="907"/>
      <c r="D21" s="907"/>
      <c r="E21" s="908"/>
      <c r="F21" s="907"/>
    </row>
    <row r="22" spans="1:6" s="12" customFormat="1" x14ac:dyDescent="0.25">
      <c r="A22" s="725"/>
      <c r="B22" s="807"/>
      <c r="C22" s="726"/>
      <c r="D22" s="726"/>
      <c r="E22" s="776"/>
      <c r="F22" s="726"/>
    </row>
    <row r="23" spans="1:6" s="12" customFormat="1" ht="43.2" customHeight="1" x14ac:dyDescent="0.25">
      <c r="A23" s="229"/>
      <c r="B23" s="808" t="s">
        <v>914</v>
      </c>
      <c r="C23" s="629"/>
      <c r="D23" s="629"/>
      <c r="E23" s="778"/>
      <c r="F23" s="629"/>
    </row>
    <row r="24" spans="1:6" s="12" customFormat="1" x14ac:dyDescent="0.25">
      <c r="A24" s="298"/>
      <c r="B24" s="784"/>
      <c r="C24" s="907"/>
      <c r="D24" s="907"/>
      <c r="E24" s="908"/>
      <c r="F24" s="907"/>
    </row>
    <row r="25" spans="1:6" s="12" customFormat="1" ht="87" customHeight="1" x14ac:dyDescent="0.25">
      <c r="A25" s="298"/>
      <c r="B25" s="787" t="s">
        <v>811</v>
      </c>
      <c r="C25" s="907"/>
      <c r="D25" s="907"/>
      <c r="E25" s="908"/>
      <c r="F25" s="907"/>
    </row>
    <row r="26" spans="1:6" s="12" customFormat="1" x14ac:dyDescent="0.25">
      <c r="A26" s="298"/>
      <c r="B26" s="788"/>
      <c r="C26" s="907"/>
      <c r="D26" s="907"/>
      <c r="E26" s="908"/>
      <c r="F26" s="907"/>
    </row>
    <row r="27" spans="1:6" s="12" customFormat="1" x14ac:dyDescent="0.25">
      <c r="A27" s="298"/>
      <c r="B27" s="789" t="s">
        <v>812</v>
      </c>
      <c r="C27" s="907"/>
      <c r="D27" s="907"/>
      <c r="E27" s="908"/>
      <c r="F27" s="907"/>
    </row>
    <row r="28" spans="1:6" s="12" customFormat="1" x14ac:dyDescent="0.25">
      <c r="A28" s="298"/>
      <c r="B28" s="788"/>
      <c r="C28" s="907"/>
      <c r="D28" s="907"/>
      <c r="E28" s="908"/>
      <c r="F28" s="907"/>
    </row>
    <row r="29" spans="1:6" s="12" customFormat="1" x14ac:dyDescent="0.25">
      <c r="A29" s="298"/>
      <c r="B29" s="789" t="s">
        <v>813</v>
      </c>
      <c r="C29" s="907"/>
      <c r="D29" s="907"/>
      <c r="E29" s="908"/>
      <c r="F29" s="907"/>
    </row>
    <row r="30" spans="1:6" s="12" customFormat="1" x14ac:dyDescent="0.25">
      <c r="A30" s="298"/>
      <c r="B30" s="788"/>
      <c r="C30" s="907"/>
      <c r="D30" s="907"/>
      <c r="E30" s="908"/>
      <c r="F30" s="907"/>
    </row>
    <row r="31" spans="1:6" s="12" customFormat="1" ht="26.4" x14ac:dyDescent="0.25">
      <c r="A31" s="298"/>
      <c r="B31" s="789" t="s">
        <v>814</v>
      </c>
      <c r="C31" s="907"/>
      <c r="D31" s="907"/>
      <c r="E31" s="908"/>
      <c r="F31" s="907"/>
    </row>
    <row r="32" spans="1:6" s="12" customFormat="1" x14ac:dyDescent="0.25">
      <c r="A32" s="298"/>
      <c r="B32" s="788"/>
      <c r="C32" s="907"/>
      <c r="D32" s="907"/>
      <c r="E32" s="908"/>
      <c r="F32" s="907"/>
    </row>
    <row r="33" spans="1:6" s="12" customFormat="1" ht="39.6" x14ac:dyDescent="0.25">
      <c r="A33" s="298"/>
      <c r="B33" s="787" t="s">
        <v>815</v>
      </c>
      <c r="C33" s="907"/>
      <c r="D33" s="907"/>
      <c r="E33" s="908"/>
      <c r="F33" s="907"/>
    </row>
    <row r="34" spans="1:6" s="12" customFormat="1" x14ac:dyDescent="0.25">
      <c r="A34" s="298"/>
      <c r="B34" s="790"/>
      <c r="C34" s="907"/>
      <c r="D34" s="907"/>
      <c r="E34" s="908"/>
      <c r="F34" s="907"/>
    </row>
    <row r="35" spans="1:6" s="12" customFormat="1" ht="39.6" x14ac:dyDescent="0.25">
      <c r="A35" s="298"/>
      <c r="B35" s="791" t="s">
        <v>816</v>
      </c>
      <c r="C35" s="907"/>
      <c r="D35" s="907"/>
      <c r="E35" s="908"/>
      <c r="F35" s="907"/>
    </row>
    <row r="36" spans="1:6" s="12" customFormat="1" x14ac:dyDescent="0.25">
      <c r="A36" s="298"/>
      <c r="B36" s="790"/>
      <c r="C36" s="907"/>
      <c r="D36" s="907"/>
      <c r="E36" s="908"/>
      <c r="F36" s="907"/>
    </row>
    <row r="37" spans="1:6" s="12" customFormat="1" x14ac:dyDescent="0.25">
      <c r="A37" s="298"/>
      <c r="B37" s="789" t="s">
        <v>817</v>
      </c>
      <c r="C37" s="907"/>
      <c r="D37" s="907"/>
      <c r="E37" s="908"/>
      <c r="F37" s="907"/>
    </row>
    <row r="38" spans="1:6" s="12" customFormat="1" x14ac:dyDescent="0.25">
      <c r="A38" s="298"/>
      <c r="B38" s="790"/>
      <c r="C38" s="907"/>
      <c r="D38" s="907"/>
      <c r="E38" s="908"/>
      <c r="F38" s="907"/>
    </row>
    <row r="39" spans="1:6" s="12" customFormat="1" ht="26.4" x14ac:dyDescent="0.25">
      <c r="A39" s="298"/>
      <c r="B39" s="791" t="s">
        <v>818</v>
      </c>
      <c r="C39" s="907"/>
      <c r="D39" s="907"/>
      <c r="E39" s="908"/>
      <c r="F39" s="907"/>
    </row>
    <row r="40" spans="1:6" s="12" customFormat="1" x14ac:dyDescent="0.25">
      <c r="A40" s="298"/>
      <c r="B40" s="788"/>
      <c r="C40" s="907"/>
      <c r="D40" s="907"/>
      <c r="E40" s="908"/>
      <c r="F40" s="907"/>
    </row>
    <row r="41" spans="1:6" s="12" customFormat="1" ht="39.6" x14ac:dyDescent="0.25">
      <c r="A41" s="298"/>
      <c r="B41" s="791" t="s">
        <v>819</v>
      </c>
      <c r="C41" s="907"/>
      <c r="D41" s="907"/>
      <c r="E41" s="908"/>
      <c r="F41" s="907"/>
    </row>
    <row r="42" spans="1:6" s="12" customFormat="1" x14ac:dyDescent="0.25">
      <c r="A42" s="298"/>
      <c r="B42" s="791"/>
      <c r="C42" s="907"/>
      <c r="D42" s="907"/>
      <c r="E42" s="908"/>
      <c r="F42" s="907"/>
    </row>
    <row r="43" spans="1:6" s="12" customFormat="1" ht="39.6" x14ac:dyDescent="0.25">
      <c r="A43" s="298"/>
      <c r="B43" s="791" t="s">
        <v>820</v>
      </c>
      <c r="C43" s="907"/>
      <c r="D43" s="907"/>
      <c r="E43" s="908"/>
      <c r="F43" s="907"/>
    </row>
    <row r="44" spans="1:6" s="12" customFormat="1" x14ac:dyDescent="0.25">
      <c r="A44" s="298"/>
      <c r="B44" s="791"/>
      <c r="C44" s="907"/>
      <c r="D44" s="907"/>
      <c r="E44" s="908"/>
      <c r="F44" s="907"/>
    </row>
    <row r="45" spans="1:6" s="12" customFormat="1" ht="39.6" x14ac:dyDescent="0.25">
      <c r="A45" s="298"/>
      <c r="B45" s="791" t="s">
        <v>821</v>
      </c>
      <c r="C45" s="907"/>
      <c r="D45" s="907"/>
      <c r="E45" s="908"/>
      <c r="F45" s="907"/>
    </row>
    <row r="46" spans="1:6" s="12" customFormat="1" x14ac:dyDescent="0.25">
      <c r="A46" s="298"/>
      <c r="B46" s="789"/>
      <c r="C46" s="907"/>
      <c r="D46" s="907"/>
      <c r="E46" s="908"/>
      <c r="F46" s="907"/>
    </row>
    <row r="47" spans="1:6" s="12" customFormat="1" x14ac:dyDescent="0.25">
      <c r="A47" s="298"/>
      <c r="B47" s="789" t="s">
        <v>822</v>
      </c>
      <c r="C47" s="907"/>
      <c r="D47" s="907"/>
      <c r="E47" s="908"/>
      <c r="F47" s="907"/>
    </row>
    <row r="48" spans="1:6" x14ac:dyDescent="0.25">
      <c r="A48" s="226"/>
      <c r="B48" s="303"/>
      <c r="C48" s="907"/>
      <c r="D48" s="907"/>
      <c r="E48" s="908"/>
      <c r="F48" s="907"/>
    </row>
    <row r="49" spans="1:6" x14ac:dyDescent="0.25">
      <c r="A49" s="226"/>
      <c r="B49" s="326" t="s">
        <v>64</v>
      </c>
      <c r="C49" s="907"/>
      <c r="D49" s="907"/>
      <c r="E49" s="908"/>
      <c r="F49" s="907"/>
    </row>
    <row r="50" spans="1:6" x14ac:dyDescent="0.25">
      <c r="A50" s="226"/>
      <c r="B50" s="326" t="s">
        <v>65</v>
      </c>
      <c r="C50" s="907"/>
      <c r="D50" s="907"/>
      <c r="E50" s="908"/>
      <c r="F50" s="907"/>
    </row>
    <row r="51" spans="1:6" x14ac:dyDescent="0.25">
      <c r="A51" s="226"/>
      <c r="B51" s="326" t="s">
        <v>66</v>
      </c>
      <c r="C51" s="907"/>
      <c r="D51" s="907"/>
      <c r="E51" s="908"/>
      <c r="F51" s="907"/>
    </row>
    <row r="52" spans="1:6" x14ac:dyDescent="0.25">
      <c r="A52" s="226"/>
      <c r="B52" s="326"/>
      <c r="C52" s="907"/>
      <c r="D52" s="907"/>
      <c r="E52" s="908"/>
      <c r="F52" s="907"/>
    </row>
    <row r="53" spans="1:6" x14ac:dyDescent="0.25">
      <c r="A53" s="226" t="s">
        <v>611</v>
      </c>
      <c r="B53" s="857" t="s">
        <v>823</v>
      </c>
      <c r="C53" s="907"/>
      <c r="D53" s="907"/>
      <c r="E53" s="908"/>
      <c r="F53" s="907"/>
    </row>
    <row r="54" spans="1:6" x14ac:dyDescent="0.25">
      <c r="A54" s="226"/>
      <c r="B54" s="788"/>
      <c r="C54" s="907"/>
      <c r="D54" s="907"/>
      <c r="E54" s="908"/>
      <c r="F54" s="907"/>
    </row>
    <row r="55" spans="1:6" ht="79.2" x14ac:dyDescent="0.25">
      <c r="A55" s="226" t="s">
        <v>824</v>
      </c>
      <c r="B55" s="790" t="s">
        <v>827</v>
      </c>
      <c r="C55" s="907">
        <v>1</v>
      </c>
      <c r="D55" s="907" t="s">
        <v>13</v>
      </c>
      <c r="E55" s="908">
        <v>35000</v>
      </c>
      <c r="F55" s="907">
        <f>E55*C55</f>
        <v>35000</v>
      </c>
    </row>
    <row r="56" spans="1:6" x14ac:dyDescent="0.25">
      <c r="A56" s="226"/>
      <c r="B56" s="790"/>
      <c r="C56" s="924"/>
      <c r="D56" s="924"/>
      <c r="E56" s="925"/>
      <c r="F56" s="924"/>
    </row>
    <row r="57" spans="1:6" x14ac:dyDescent="0.25">
      <c r="A57" s="708"/>
      <c r="B57" s="809"/>
      <c r="C57" s="726"/>
      <c r="D57" s="726"/>
      <c r="E57" s="776"/>
      <c r="F57" s="726"/>
    </row>
    <row r="58" spans="1:6" x14ac:dyDescent="0.25">
      <c r="A58" s="714"/>
      <c r="B58" s="922" t="s">
        <v>825</v>
      </c>
      <c r="C58" s="629"/>
      <c r="D58" s="629"/>
      <c r="E58" s="778"/>
      <c r="F58" s="629"/>
    </row>
    <row r="59" spans="1:6" x14ac:dyDescent="0.25">
      <c r="A59" s="226"/>
      <c r="B59" s="857"/>
      <c r="C59" s="907"/>
      <c r="D59" s="907"/>
      <c r="E59" s="908"/>
      <c r="F59" s="907"/>
    </row>
    <row r="60" spans="1:6" ht="39.6" x14ac:dyDescent="0.25">
      <c r="A60" s="226" t="s">
        <v>826</v>
      </c>
      <c r="B60" s="790" t="s">
        <v>852</v>
      </c>
      <c r="C60" s="907">
        <v>1</v>
      </c>
      <c r="D60" s="907" t="s">
        <v>13</v>
      </c>
      <c r="E60" s="908">
        <v>68250</v>
      </c>
      <c r="F60" s="907">
        <f>E60*C60</f>
        <v>68250</v>
      </c>
    </row>
    <row r="61" spans="1:6" x14ac:dyDescent="0.25">
      <c r="A61" s="226"/>
      <c r="B61" s="792"/>
      <c r="C61" s="907"/>
      <c r="D61" s="907"/>
      <c r="E61" s="908"/>
      <c r="F61" s="907"/>
    </row>
    <row r="62" spans="1:6" ht="39.6" x14ac:dyDescent="0.25">
      <c r="A62" s="226" t="s">
        <v>1233</v>
      </c>
      <c r="B62" s="792" t="s">
        <v>1232</v>
      </c>
      <c r="C62" s="907">
        <v>1</v>
      </c>
      <c r="D62" s="907" t="s">
        <v>13</v>
      </c>
      <c r="E62" s="908">
        <v>50000</v>
      </c>
      <c r="F62" s="907">
        <f>E62*C62</f>
        <v>50000</v>
      </c>
    </row>
    <row r="63" spans="1:6" x14ac:dyDescent="0.25">
      <c r="A63" s="226"/>
      <c r="B63" s="792"/>
      <c r="C63" s="907"/>
      <c r="D63" s="907"/>
      <c r="E63" s="908"/>
      <c r="F63" s="907"/>
    </row>
    <row r="64" spans="1:6" x14ac:dyDescent="0.25">
      <c r="A64" s="226" t="s">
        <v>625</v>
      </c>
      <c r="B64" s="857" t="s">
        <v>828</v>
      </c>
      <c r="C64" s="907"/>
      <c r="D64" s="907"/>
      <c r="E64" s="908"/>
      <c r="F64" s="907"/>
    </row>
    <row r="65" spans="1:6" x14ac:dyDescent="0.25">
      <c r="A65" s="226"/>
      <c r="B65" s="793"/>
      <c r="C65" s="907"/>
      <c r="D65" s="907"/>
      <c r="E65" s="908"/>
      <c r="F65" s="907"/>
    </row>
    <row r="66" spans="1:6" ht="26.4" x14ac:dyDescent="0.25">
      <c r="A66" s="226"/>
      <c r="B66" s="794" t="s">
        <v>829</v>
      </c>
      <c r="C66" s="907"/>
      <c r="D66" s="907"/>
      <c r="E66" s="908"/>
      <c r="F66" s="907"/>
    </row>
    <row r="67" spans="1:6" x14ac:dyDescent="0.25">
      <c r="A67" s="226"/>
      <c r="B67" s="857"/>
      <c r="C67" s="907"/>
      <c r="D67" s="907"/>
      <c r="E67" s="908"/>
      <c r="F67" s="907"/>
    </row>
    <row r="68" spans="1:6" ht="52.8" x14ac:dyDescent="0.25">
      <c r="A68" s="226"/>
      <c r="B68" s="795" t="s">
        <v>830</v>
      </c>
      <c r="C68" s="907"/>
      <c r="D68" s="907"/>
      <c r="E68" s="908"/>
      <c r="F68" s="907"/>
    </row>
    <row r="69" spans="1:6" x14ac:dyDescent="0.25">
      <c r="A69" s="226"/>
      <c r="B69" s="857"/>
      <c r="C69" s="907"/>
      <c r="D69" s="907"/>
      <c r="E69" s="908"/>
      <c r="F69" s="907"/>
    </row>
    <row r="70" spans="1:6" ht="66" x14ac:dyDescent="0.25">
      <c r="A70" s="226"/>
      <c r="B70" s="795" t="s">
        <v>831</v>
      </c>
      <c r="C70" s="907"/>
      <c r="D70" s="907"/>
      <c r="E70" s="908"/>
      <c r="F70" s="907"/>
    </row>
    <row r="71" spans="1:6" x14ac:dyDescent="0.25">
      <c r="A71" s="226"/>
      <c r="B71" s="857"/>
      <c r="C71" s="907"/>
      <c r="D71" s="907"/>
      <c r="E71" s="908"/>
      <c r="F71" s="907"/>
    </row>
    <row r="72" spans="1:6" ht="52.8" x14ac:dyDescent="0.25">
      <c r="A72" s="226"/>
      <c r="B72" s="794" t="s">
        <v>832</v>
      </c>
      <c r="C72" s="907"/>
      <c r="D72" s="907"/>
      <c r="E72" s="908"/>
      <c r="F72" s="907"/>
    </row>
    <row r="73" spans="1:6" x14ac:dyDescent="0.25">
      <c r="A73" s="226"/>
      <c r="B73" s="796"/>
      <c r="C73" s="907"/>
      <c r="D73" s="907"/>
      <c r="E73" s="908"/>
      <c r="F73" s="907"/>
    </row>
    <row r="74" spans="1:6" ht="39.6" x14ac:dyDescent="0.25">
      <c r="A74" s="226"/>
      <c r="B74" s="794" t="s">
        <v>833</v>
      </c>
      <c r="C74" s="907"/>
      <c r="D74" s="907"/>
      <c r="E74" s="908"/>
      <c r="F74" s="907"/>
    </row>
    <row r="75" spans="1:6" x14ac:dyDescent="0.25">
      <c r="A75" s="226"/>
      <c r="B75" s="792"/>
      <c r="C75" s="907"/>
      <c r="D75" s="907"/>
      <c r="E75" s="908"/>
      <c r="F75" s="907"/>
    </row>
    <row r="76" spans="1:6" ht="26.4" x14ac:dyDescent="0.25">
      <c r="A76" s="226"/>
      <c r="B76" s="794" t="s">
        <v>834</v>
      </c>
      <c r="C76" s="907"/>
      <c r="D76" s="907"/>
      <c r="E76" s="908"/>
      <c r="F76" s="907"/>
    </row>
    <row r="77" spans="1:6" x14ac:dyDescent="0.25">
      <c r="A77" s="226"/>
      <c r="B77" s="794"/>
      <c r="C77" s="907"/>
      <c r="D77" s="907"/>
      <c r="E77" s="908"/>
      <c r="F77" s="907"/>
    </row>
    <row r="78" spans="1:6" ht="26.4" x14ac:dyDescent="0.25">
      <c r="A78" s="226"/>
      <c r="B78" s="795" t="s">
        <v>835</v>
      </c>
      <c r="C78" s="907"/>
      <c r="D78" s="907"/>
      <c r="E78" s="908"/>
      <c r="F78" s="907"/>
    </row>
    <row r="79" spans="1:6" x14ac:dyDescent="0.25">
      <c r="A79" s="251"/>
      <c r="B79" s="790"/>
      <c r="C79" s="907"/>
      <c r="D79" s="907"/>
      <c r="E79" s="908"/>
      <c r="F79" s="907"/>
    </row>
    <row r="80" spans="1:6" ht="26.4" x14ac:dyDescent="0.25">
      <c r="A80" s="251" t="s">
        <v>836</v>
      </c>
      <c r="B80" s="797" t="s">
        <v>1234</v>
      </c>
      <c r="C80" s="907">
        <v>50</v>
      </c>
      <c r="D80" s="907" t="s">
        <v>56</v>
      </c>
      <c r="E80" s="908">
        <v>6500</v>
      </c>
      <c r="F80" s="907">
        <f>E80*C80</f>
        <v>325000</v>
      </c>
    </row>
    <row r="81" spans="1:6" x14ac:dyDescent="0.25">
      <c r="A81" s="251"/>
      <c r="B81" s="797"/>
      <c r="C81" s="907"/>
      <c r="D81" s="907"/>
      <c r="E81" s="908"/>
      <c r="F81" s="907"/>
    </row>
    <row r="82" spans="1:6" ht="26.4" hidden="1" x14ac:dyDescent="0.25">
      <c r="A82" s="251" t="s">
        <v>1238</v>
      </c>
      <c r="B82" s="797" t="s">
        <v>1235</v>
      </c>
      <c r="C82" s="907"/>
      <c r="D82" s="907" t="s">
        <v>56</v>
      </c>
      <c r="E82" s="908">
        <v>4500</v>
      </c>
      <c r="F82" s="907"/>
    </row>
    <row r="83" spans="1:6" hidden="1" x14ac:dyDescent="0.25">
      <c r="A83" s="251"/>
      <c r="B83" s="797"/>
      <c r="C83" s="907"/>
      <c r="D83" s="907"/>
      <c r="E83" s="908"/>
      <c r="F83" s="907"/>
    </row>
    <row r="84" spans="1:6" ht="26.4" hidden="1" x14ac:dyDescent="0.25">
      <c r="A84" s="251" t="s">
        <v>1238</v>
      </c>
      <c r="B84" s="797" t="s">
        <v>1327</v>
      </c>
      <c r="C84" s="907"/>
      <c r="D84" s="907" t="s">
        <v>56</v>
      </c>
      <c r="E84" s="908">
        <v>2500</v>
      </c>
      <c r="F84" s="907"/>
    </row>
    <row r="85" spans="1:6" hidden="1" x14ac:dyDescent="0.25">
      <c r="A85" s="251"/>
      <c r="B85" s="797"/>
      <c r="C85" s="907"/>
      <c r="D85" s="907"/>
      <c r="E85" s="908"/>
      <c r="F85" s="907"/>
    </row>
    <row r="86" spans="1:6" ht="26.4" x14ac:dyDescent="0.25">
      <c r="A86" s="251" t="s">
        <v>1239</v>
      </c>
      <c r="B86" s="797" t="s">
        <v>1236</v>
      </c>
      <c r="C86" s="907">
        <v>75</v>
      </c>
      <c r="D86" s="907" t="s">
        <v>56</v>
      </c>
      <c r="E86" s="908">
        <v>3900</v>
      </c>
      <c r="F86" s="907">
        <f>E86*C86</f>
        <v>292500</v>
      </c>
    </row>
    <row r="87" spans="1:6" x14ac:dyDescent="0.25">
      <c r="A87" s="251"/>
      <c r="B87" s="797"/>
      <c r="C87" s="924"/>
      <c r="D87" s="924"/>
      <c r="E87" s="925"/>
      <c r="F87" s="924"/>
    </row>
    <row r="88" spans="1:6" ht="26.4" hidden="1" x14ac:dyDescent="0.25">
      <c r="A88" s="251" t="s">
        <v>1240</v>
      </c>
      <c r="B88" s="797" t="s">
        <v>1237</v>
      </c>
      <c r="C88" s="924"/>
      <c r="D88" s="924" t="s">
        <v>56</v>
      </c>
      <c r="E88" s="925">
        <v>2500</v>
      </c>
      <c r="F88" s="924">
        <f>E88*C88</f>
        <v>0</v>
      </c>
    </row>
    <row r="89" spans="1:6" ht="26.4" x14ac:dyDescent="0.25">
      <c r="A89" s="335" t="s">
        <v>634</v>
      </c>
      <c r="B89" s="305" t="s">
        <v>842</v>
      </c>
      <c r="C89" s="305"/>
      <c r="D89" s="305"/>
      <c r="E89" s="925"/>
      <c r="F89" s="924"/>
    </row>
    <row r="90" spans="1:6" x14ac:dyDescent="0.25">
      <c r="A90" s="226"/>
      <c r="B90" s="793"/>
      <c r="C90" s="907"/>
      <c r="D90" s="907"/>
      <c r="E90" s="908"/>
      <c r="F90" s="907"/>
    </row>
    <row r="91" spans="1:6" ht="52.8" x14ac:dyDescent="0.25">
      <c r="A91" s="226"/>
      <c r="B91" s="857" t="s">
        <v>837</v>
      </c>
      <c r="C91" s="907"/>
      <c r="D91" s="907"/>
      <c r="E91" s="908"/>
      <c r="F91" s="907"/>
    </row>
    <row r="92" spans="1:6" x14ac:dyDescent="0.25">
      <c r="A92" s="226"/>
      <c r="B92" s="857"/>
      <c r="C92" s="907"/>
      <c r="D92" s="907"/>
      <c r="E92" s="908"/>
      <c r="F92" s="907"/>
    </row>
    <row r="93" spans="1:6" ht="39.6" x14ac:dyDescent="0.25">
      <c r="A93" s="226"/>
      <c r="B93" s="857" t="s">
        <v>838</v>
      </c>
      <c r="C93" s="907"/>
      <c r="D93" s="907"/>
      <c r="E93" s="908"/>
      <c r="F93" s="907"/>
    </row>
    <row r="94" spans="1:6" x14ac:dyDescent="0.25">
      <c r="A94" s="226"/>
      <c r="B94" s="857"/>
      <c r="C94" s="907"/>
      <c r="D94" s="907"/>
      <c r="E94" s="908"/>
      <c r="F94" s="907"/>
    </row>
    <row r="95" spans="1:6" ht="26.4" x14ac:dyDescent="0.25">
      <c r="A95" s="226"/>
      <c r="B95" s="857" t="s">
        <v>1328</v>
      </c>
      <c r="C95" s="907"/>
      <c r="D95" s="907"/>
      <c r="E95" s="908"/>
      <c r="F95" s="907"/>
    </row>
    <row r="96" spans="1:6" x14ac:dyDescent="0.25">
      <c r="A96" s="226"/>
      <c r="B96" s="857"/>
      <c r="C96" s="907"/>
      <c r="D96" s="907"/>
      <c r="E96" s="908"/>
      <c r="F96" s="907"/>
    </row>
    <row r="97" spans="1:6" ht="39.6" x14ac:dyDescent="0.25">
      <c r="A97" s="226"/>
      <c r="B97" s="857" t="s">
        <v>840</v>
      </c>
      <c r="C97" s="907"/>
      <c r="D97" s="907"/>
      <c r="E97" s="908"/>
      <c r="F97" s="907"/>
    </row>
    <row r="98" spans="1:6" x14ac:dyDescent="0.25">
      <c r="A98" s="226"/>
      <c r="B98" s="857"/>
      <c r="C98" s="907"/>
      <c r="D98" s="907"/>
      <c r="E98" s="908"/>
      <c r="F98" s="907"/>
    </row>
    <row r="99" spans="1:6" ht="26.4" x14ac:dyDescent="0.25">
      <c r="A99" s="226"/>
      <c r="B99" s="857" t="s">
        <v>841</v>
      </c>
      <c r="C99" s="907"/>
      <c r="D99" s="907"/>
      <c r="E99" s="908"/>
      <c r="F99" s="907"/>
    </row>
    <row r="100" spans="1:6" x14ac:dyDescent="0.25">
      <c r="A100" s="226"/>
      <c r="B100" s="857"/>
      <c r="C100" s="907"/>
      <c r="D100" s="907"/>
      <c r="E100" s="908"/>
      <c r="F100" s="907"/>
    </row>
    <row r="101" spans="1:6" ht="66" x14ac:dyDescent="0.25">
      <c r="A101" s="226"/>
      <c r="B101" s="857" t="s">
        <v>905</v>
      </c>
      <c r="C101" s="907"/>
      <c r="D101" s="907"/>
      <c r="E101" s="908"/>
      <c r="F101" s="907"/>
    </row>
    <row r="102" spans="1:6" x14ac:dyDescent="0.25">
      <c r="A102" s="226"/>
      <c r="B102" s="857"/>
      <c r="C102" s="907"/>
      <c r="D102" s="907"/>
      <c r="E102" s="908"/>
      <c r="F102" s="907"/>
    </row>
    <row r="103" spans="1:6" ht="52.8" x14ac:dyDescent="0.25">
      <c r="A103" s="226"/>
      <c r="B103" s="857" t="s">
        <v>906</v>
      </c>
      <c r="C103" s="907"/>
      <c r="D103" s="907"/>
      <c r="E103" s="908"/>
      <c r="F103" s="907"/>
    </row>
    <row r="104" spans="1:6" x14ac:dyDescent="0.25">
      <c r="A104" s="226"/>
      <c r="B104" s="857"/>
      <c r="C104" s="907"/>
      <c r="D104" s="907"/>
      <c r="E104" s="908"/>
      <c r="F104" s="907"/>
    </row>
    <row r="105" spans="1:6" ht="136.80000000000001" customHeight="1" x14ac:dyDescent="0.25">
      <c r="A105" s="226"/>
      <c r="B105" s="857" t="s">
        <v>1008</v>
      </c>
      <c r="C105" s="907"/>
      <c r="D105" s="907"/>
      <c r="E105" s="908"/>
      <c r="F105" s="907"/>
    </row>
    <row r="106" spans="1:6" x14ac:dyDescent="0.25">
      <c r="A106" s="226"/>
      <c r="B106" s="857"/>
      <c r="C106" s="907"/>
      <c r="D106" s="907"/>
      <c r="E106" s="908"/>
      <c r="F106" s="907"/>
    </row>
    <row r="107" spans="1:6" ht="26.4" x14ac:dyDescent="0.25">
      <c r="A107" s="226"/>
      <c r="B107" s="857" t="s">
        <v>908</v>
      </c>
      <c r="C107" s="907"/>
      <c r="D107" s="907"/>
      <c r="E107" s="908"/>
      <c r="F107" s="907"/>
    </row>
    <row r="108" spans="1:6" x14ac:dyDescent="0.25">
      <c r="A108" s="226"/>
      <c r="B108" s="857"/>
      <c r="C108" s="907"/>
      <c r="D108" s="907"/>
      <c r="E108" s="908"/>
      <c r="F108" s="907"/>
    </row>
    <row r="109" spans="1:6" ht="92.4" x14ac:dyDescent="0.25">
      <c r="A109" s="226"/>
      <c r="B109" s="857" t="s">
        <v>1009</v>
      </c>
      <c r="C109" s="907"/>
      <c r="D109" s="907"/>
      <c r="E109" s="908"/>
      <c r="F109" s="907"/>
    </row>
    <row r="110" spans="1:6" x14ac:dyDescent="0.25">
      <c r="A110" s="226"/>
      <c r="B110" s="857"/>
      <c r="C110" s="907"/>
      <c r="D110" s="907"/>
      <c r="E110" s="908"/>
      <c r="F110" s="907"/>
    </row>
    <row r="111" spans="1:6" ht="39.6" x14ac:dyDescent="0.25">
      <c r="A111" s="226"/>
      <c r="B111" s="857" t="s">
        <v>1010</v>
      </c>
      <c r="C111" s="907"/>
      <c r="D111" s="907"/>
      <c r="E111" s="908"/>
      <c r="F111" s="907"/>
    </row>
    <row r="112" spans="1:6" x14ac:dyDescent="0.25">
      <c r="A112" s="226"/>
      <c r="B112" s="857"/>
      <c r="C112" s="924"/>
      <c r="D112" s="924"/>
      <c r="E112" s="925"/>
      <c r="F112" s="924"/>
    </row>
    <row r="113" spans="1:6" ht="39.6" x14ac:dyDescent="0.25">
      <c r="A113" s="226"/>
      <c r="B113" s="857" t="s">
        <v>1011</v>
      </c>
      <c r="C113" s="924"/>
      <c r="D113" s="924"/>
      <c r="E113" s="925"/>
      <c r="F113" s="924"/>
    </row>
    <row r="114" spans="1:6" x14ac:dyDescent="0.25">
      <c r="A114" s="226"/>
      <c r="B114" s="857"/>
      <c r="C114" s="907"/>
      <c r="D114" s="907"/>
      <c r="E114" s="908"/>
      <c r="F114" s="907"/>
    </row>
    <row r="115" spans="1:6" ht="39.6" x14ac:dyDescent="0.25">
      <c r="A115" s="226"/>
      <c r="B115" s="857" t="s">
        <v>1012</v>
      </c>
      <c r="C115" s="907"/>
      <c r="D115" s="907"/>
      <c r="E115" s="908"/>
      <c r="F115" s="907"/>
    </row>
    <row r="116" spans="1:6" x14ac:dyDescent="0.25">
      <c r="A116" s="226"/>
      <c r="B116" s="857"/>
      <c r="C116" s="907"/>
      <c r="D116" s="907"/>
      <c r="E116" s="908"/>
      <c r="F116" s="907"/>
    </row>
    <row r="117" spans="1:6" ht="39.6" x14ac:dyDescent="0.25">
      <c r="A117" s="226"/>
      <c r="B117" s="857" t="s">
        <v>1013</v>
      </c>
      <c r="C117" s="907"/>
      <c r="D117" s="907"/>
      <c r="E117" s="908"/>
      <c r="F117" s="907"/>
    </row>
    <row r="118" spans="1:6" x14ac:dyDescent="0.25">
      <c r="A118" s="226"/>
      <c r="B118" s="857"/>
      <c r="C118" s="907"/>
      <c r="D118" s="907"/>
      <c r="E118" s="908"/>
      <c r="F118" s="907"/>
    </row>
    <row r="119" spans="1:6" ht="26.4" x14ac:dyDescent="0.25">
      <c r="A119" s="226"/>
      <c r="B119" s="857" t="s">
        <v>1014</v>
      </c>
      <c r="C119" s="907"/>
      <c r="D119" s="907"/>
      <c r="E119" s="908"/>
      <c r="F119" s="907"/>
    </row>
    <row r="120" spans="1:6" x14ac:dyDescent="0.25">
      <c r="A120" s="226"/>
      <c r="B120" s="857"/>
      <c r="C120" s="907"/>
      <c r="D120" s="907"/>
      <c r="E120" s="908"/>
      <c r="F120" s="907"/>
    </row>
    <row r="121" spans="1:6" x14ac:dyDescent="0.25">
      <c r="A121" s="226"/>
      <c r="B121" s="857" t="s">
        <v>1015</v>
      </c>
      <c r="C121" s="907"/>
      <c r="D121" s="907"/>
      <c r="E121" s="908"/>
      <c r="F121" s="907"/>
    </row>
    <row r="122" spans="1:6" x14ac:dyDescent="0.25">
      <c r="A122" s="226"/>
      <c r="B122" s="857"/>
      <c r="C122" s="907"/>
      <c r="D122" s="907"/>
      <c r="E122" s="908"/>
      <c r="F122" s="907"/>
    </row>
    <row r="123" spans="1:6" ht="26.4" x14ac:dyDescent="0.25">
      <c r="A123" s="226"/>
      <c r="B123" s="857" t="s">
        <v>1016</v>
      </c>
      <c r="C123" s="907"/>
      <c r="D123" s="907"/>
      <c r="E123" s="908"/>
      <c r="F123" s="907"/>
    </row>
    <row r="124" spans="1:6" x14ac:dyDescent="0.25">
      <c r="A124" s="226"/>
      <c r="B124" s="857"/>
      <c r="C124" s="907"/>
      <c r="D124" s="907"/>
      <c r="E124" s="908"/>
      <c r="F124" s="907"/>
    </row>
    <row r="125" spans="1:6" ht="66" x14ac:dyDescent="0.25">
      <c r="A125" s="226"/>
      <c r="B125" s="857" t="s">
        <v>1017</v>
      </c>
      <c r="C125" s="907"/>
      <c r="D125" s="907"/>
      <c r="E125" s="908"/>
      <c r="F125" s="907"/>
    </row>
    <row r="126" spans="1:6" x14ac:dyDescent="0.25">
      <c r="A126" s="226"/>
      <c r="B126" s="857"/>
      <c r="C126" s="907"/>
      <c r="D126" s="907"/>
      <c r="E126" s="908"/>
      <c r="F126" s="907"/>
    </row>
    <row r="127" spans="1:6" ht="52.8" x14ac:dyDescent="0.25">
      <c r="A127" s="226"/>
      <c r="B127" s="857" t="s">
        <v>913</v>
      </c>
      <c r="C127" s="907"/>
      <c r="D127" s="907"/>
      <c r="E127" s="908"/>
      <c r="F127" s="907"/>
    </row>
    <row r="128" spans="1:6" x14ac:dyDescent="0.25">
      <c r="A128" s="226"/>
      <c r="B128" s="857"/>
      <c r="C128" s="907"/>
      <c r="D128" s="907"/>
      <c r="E128" s="908"/>
      <c r="F128" s="907"/>
    </row>
    <row r="129" spans="1:9" ht="39.6" x14ac:dyDescent="0.25">
      <c r="A129" s="226"/>
      <c r="B129" s="857" t="s">
        <v>914</v>
      </c>
      <c r="C129" s="907"/>
      <c r="D129" s="907"/>
      <c r="E129" s="908"/>
      <c r="F129" s="907"/>
    </row>
    <row r="130" spans="1:9" x14ac:dyDescent="0.25">
      <c r="A130" s="226"/>
      <c r="B130" s="792"/>
      <c r="C130" s="907"/>
      <c r="D130" s="907"/>
      <c r="E130" s="908"/>
      <c r="F130" s="907"/>
    </row>
    <row r="131" spans="1:9" x14ac:dyDescent="0.25">
      <c r="A131" s="226" t="s">
        <v>843</v>
      </c>
      <c r="B131" s="798" t="s">
        <v>839</v>
      </c>
      <c r="C131" s="907"/>
      <c r="D131" s="907"/>
      <c r="E131" s="908"/>
      <c r="F131" s="907"/>
    </row>
    <row r="132" spans="1:9" ht="79.2" hidden="1" customHeight="1" x14ac:dyDescent="0.25">
      <c r="A132" s="226"/>
      <c r="B132" s="799" t="s">
        <v>847</v>
      </c>
      <c r="C132" s="2776"/>
      <c r="D132" s="2777" t="s">
        <v>1135</v>
      </c>
      <c r="E132" s="2778">
        <v>275000</v>
      </c>
      <c r="F132" s="2777">
        <f>E132</f>
        <v>275000</v>
      </c>
    </row>
    <row r="133" spans="1:9" ht="13.8" hidden="1" customHeight="1" x14ac:dyDescent="0.25">
      <c r="A133" s="226"/>
      <c r="B133" s="800" t="s">
        <v>844</v>
      </c>
      <c r="C133" s="2776"/>
      <c r="D133" s="2777"/>
      <c r="E133" s="2778"/>
      <c r="F133" s="2777"/>
    </row>
    <row r="134" spans="1:9" ht="105.6" x14ac:dyDescent="0.25">
      <c r="A134" s="226"/>
      <c r="B134" s="793" t="s">
        <v>1251</v>
      </c>
      <c r="C134" s="2776"/>
      <c r="D134" s="2777"/>
      <c r="E134" s="2778"/>
      <c r="F134" s="2777"/>
    </row>
    <row r="135" spans="1:9" ht="39.6" x14ac:dyDescent="0.25">
      <c r="A135" s="226"/>
      <c r="B135" s="801" t="s">
        <v>1325</v>
      </c>
      <c r="C135" s="907"/>
      <c r="D135" s="907"/>
      <c r="E135" s="908"/>
      <c r="F135" s="907"/>
    </row>
    <row r="136" spans="1:9" x14ac:dyDescent="0.25">
      <c r="A136" s="226"/>
      <c r="B136" s="801"/>
      <c r="C136" s="924"/>
      <c r="D136" s="924"/>
      <c r="E136" s="925"/>
      <c r="F136" s="924"/>
    </row>
    <row r="137" spans="1:9" x14ac:dyDescent="0.25">
      <c r="A137" s="226" t="s">
        <v>845</v>
      </c>
      <c r="B137" s="802" t="s">
        <v>1245</v>
      </c>
      <c r="C137" s="924"/>
      <c r="D137" s="924"/>
      <c r="E137" s="925"/>
      <c r="F137" s="924"/>
    </row>
    <row r="138" spans="1:9" x14ac:dyDescent="0.25">
      <c r="A138" s="226"/>
      <c r="B138" s="802" t="s">
        <v>1371</v>
      </c>
      <c r="C138" s="924"/>
      <c r="D138" s="924"/>
      <c r="E138" s="925"/>
      <c r="F138" s="924"/>
    </row>
    <row r="139" spans="1:9" ht="92.4" hidden="1" x14ac:dyDescent="0.25">
      <c r="A139" s="226"/>
      <c r="B139" s="803" t="s">
        <v>846</v>
      </c>
      <c r="C139" s="2776"/>
      <c r="D139" s="2777" t="s">
        <v>1135</v>
      </c>
      <c r="E139" s="2778">
        <f>150000*2</f>
        <v>300000</v>
      </c>
      <c r="F139" s="2777">
        <f>E139</f>
        <v>300000</v>
      </c>
      <c r="G139" s="24">
        <v>9900</v>
      </c>
    </row>
    <row r="140" spans="1:9" ht="113.4" customHeight="1" x14ac:dyDescent="0.25">
      <c r="A140" s="226"/>
      <c r="B140" s="803" t="s">
        <v>1252</v>
      </c>
      <c r="C140" s="2776"/>
      <c r="D140" s="2777"/>
      <c r="E140" s="2778"/>
      <c r="F140" s="2777"/>
      <c r="G140" s="24">
        <v>25000</v>
      </c>
      <c r="H140" s="24">
        <f>SUM(G139:G140)</f>
        <v>34900</v>
      </c>
      <c r="I140" s="24">
        <f>H140+15000</f>
        <v>49900</v>
      </c>
    </row>
    <row r="141" spans="1:9" ht="39.6" x14ac:dyDescent="0.25">
      <c r="A141" s="226"/>
      <c r="B141" s="803" t="s">
        <v>1325</v>
      </c>
      <c r="C141" s="923"/>
      <c r="D141" s="924"/>
      <c r="E141" s="925"/>
      <c r="F141" s="924"/>
    </row>
    <row r="142" spans="1:9" x14ac:dyDescent="0.25">
      <c r="A142" s="226"/>
      <c r="B142" s="803"/>
      <c r="C142" s="923"/>
      <c r="D142" s="924"/>
      <c r="E142" s="925"/>
      <c r="F142" s="924"/>
    </row>
    <row r="143" spans="1:9" hidden="1" x14ac:dyDescent="0.25">
      <c r="A143" s="226" t="s">
        <v>1247</v>
      </c>
      <c r="B143" s="802" t="s">
        <v>1246</v>
      </c>
      <c r="C143" s="923"/>
      <c r="D143" s="924"/>
      <c r="E143" s="925"/>
      <c r="F143" s="924"/>
    </row>
    <row r="144" spans="1:9" ht="105.6" hidden="1" x14ac:dyDescent="0.25">
      <c r="A144" s="226"/>
      <c r="B144" s="803" t="s">
        <v>1330</v>
      </c>
      <c r="C144" s="923"/>
      <c r="D144" s="924" t="s">
        <v>1135</v>
      </c>
      <c r="E144" s="925">
        <f>100000</f>
        <v>100000</v>
      </c>
      <c r="F144" s="924"/>
    </row>
    <row r="145" spans="1:6" ht="26.4" hidden="1" x14ac:dyDescent="0.25">
      <c r="A145" s="226"/>
      <c r="B145" s="803" t="s">
        <v>1326</v>
      </c>
      <c r="C145" s="923"/>
      <c r="D145" s="924"/>
      <c r="E145" s="925"/>
      <c r="F145" s="924"/>
    </row>
    <row r="146" spans="1:6" hidden="1" x14ac:dyDescent="0.25">
      <c r="A146" s="226"/>
      <c r="B146" s="803"/>
      <c r="C146" s="923"/>
      <c r="D146" s="669"/>
      <c r="E146" s="902"/>
      <c r="F146" s="669"/>
    </row>
    <row r="147" spans="1:6" hidden="1" x14ac:dyDescent="0.25">
      <c r="A147" s="226" t="s">
        <v>1248</v>
      </c>
      <c r="B147" s="802" t="s">
        <v>1308</v>
      </c>
      <c r="C147" s="923"/>
      <c r="D147" s="924"/>
      <c r="E147" s="925"/>
      <c r="F147" s="924"/>
    </row>
    <row r="148" spans="1:6" ht="105.6" hidden="1" x14ac:dyDescent="0.25">
      <c r="A148" s="226"/>
      <c r="B148" s="803" t="s">
        <v>1253</v>
      </c>
      <c r="C148" s="923"/>
      <c r="D148" s="924" t="s">
        <v>1135</v>
      </c>
      <c r="E148" s="925">
        <f>75000*4</f>
        <v>300000</v>
      </c>
      <c r="F148" s="924"/>
    </row>
    <row r="149" spans="1:6" ht="39.6" hidden="1" x14ac:dyDescent="0.25">
      <c r="A149" s="226"/>
      <c r="B149" s="803" t="s">
        <v>1325</v>
      </c>
      <c r="C149" s="923"/>
      <c r="D149" s="669"/>
      <c r="E149" s="902"/>
      <c r="F149" s="669"/>
    </row>
    <row r="150" spans="1:6" hidden="1" x14ac:dyDescent="0.25">
      <c r="A150" s="226"/>
      <c r="B150" s="803"/>
      <c r="C150" s="923"/>
      <c r="D150" s="669"/>
      <c r="E150" s="902"/>
      <c r="F150" s="669"/>
    </row>
    <row r="151" spans="1:6" hidden="1" x14ac:dyDescent="0.25">
      <c r="A151" s="226" t="s">
        <v>1248</v>
      </c>
      <c r="B151" s="858" t="s">
        <v>1241</v>
      </c>
      <c r="C151" s="923"/>
      <c r="D151" s="924"/>
      <c r="E151" s="925"/>
      <c r="F151" s="924"/>
    </row>
    <row r="152" spans="1:6" ht="92.4" hidden="1" x14ac:dyDescent="0.25">
      <c r="A152" s="226"/>
      <c r="B152" s="803" t="s">
        <v>1343</v>
      </c>
      <c r="C152" s="924"/>
      <c r="D152" s="924" t="s">
        <v>1135</v>
      </c>
      <c r="E152" s="902">
        <f>50500*42</f>
        <v>2121000</v>
      </c>
      <c r="F152" s="669"/>
    </row>
    <row r="153" spans="1:6" ht="39.6" hidden="1" x14ac:dyDescent="0.25">
      <c r="A153" s="226"/>
      <c r="B153" s="803" t="s">
        <v>1325</v>
      </c>
      <c r="C153" s="924"/>
      <c r="D153" s="669"/>
      <c r="E153" s="902"/>
      <c r="F153" s="669"/>
    </row>
    <row r="154" spans="1:6" hidden="1" x14ac:dyDescent="0.25">
      <c r="A154" s="226"/>
      <c r="B154" s="803"/>
      <c r="C154" s="924"/>
      <c r="D154" s="669"/>
      <c r="E154" s="902"/>
      <c r="F154" s="669"/>
    </row>
    <row r="155" spans="1:6" hidden="1" x14ac:dyDescent="0.25">
      <c r="A155" s="226"/>
      <c r="B155" s="803"/>
      <c r="C155" s="924"/>
      <c r="D155" s="669"/>
      <c r="E155" s="902"/>
      <c r="F155" s="669"/>
    </row>
    <row r="156" spans="1:6" hidden="1" x14ac:dyDescent="0.25">
      <c r="A156" s="226"/>
      <c r="B156" s="803"/>
      <c r="C156" s="924"/>
      <c r="D156" s="669"/>
      <c r="E156" s="902"/>
      <c r="F156" s="669"/>
    </row>
    <row r="157" spans="1:6" hidden="1" x14ac:dyDescent="0.25">
      <c r="A157" s="226"/>
      <c r="B157" s="803"/>
      <c r="C157" s="924"/>
      <c r="D157" s="669"/>
      <c r="E157" s="902"/>
      <c r="F157" s="669"/>
    </row>
    <row r="158" spans="1:6" hidden="1" x14ac:dyDescent="0.25">
      <c r="A158" s="226"/>
      <c r="B158" s="803"/>
      <c r="C158" s="924"/>
      <c r="D158" s="669"/>
      <c r="E158" s="902"/>
      <c r="F158" s="669"/>
    </row>
    <row r="159" spans="1:6" hidden="1" x14ac:dyDescent="0.25">
      <c r="A159" s="226"/>
      <c r="B159" s="803"/>
      <c r="C159" s="924"/>
      <c r="D159" s="669"/>
      <c r="E159" s="902"/>
      <c r="F159" s="669"/>
    </row>
    <row r="160" spans="1:6" hidden="1" x14ac:dyDescent="0.25">
      <c r="A160" s="226"/>
      <c r="B160" s="803"/>
      <c r="C160" s="924"/>
      <c r="D160" s="669"/>
      <c r="E160" s="902"/>
      <c r="F160" s="669"/>
    </row>
    <row r="161" spans="1:6" hidden="1" x14ac:dyDescent="0.25">
      <c r="A161" s="226"/>
      <c r="B161" s="803"/>
      <c r="C161" s="924"/>
      <c r="D161" s="669"/>
      <c r="E161" s="902"/>
      <c r="F161" s="669"/>
    </row>
    <row r="162" spans="1:6" hidden="1" x14ac:dyDescent="0.25">
      <c r="A162" s="226"/>
      <c r="B162" s="803"/>
      <c r="C162" s="923"/>
      <c r="D162" s="924"/>
      <c r="E162" s="925"/>
      <c r="F162" s="924"/>
    </row>
    <row r="163" spans="1:6" hidden="1" x14ac:dyDescent="0.25">
      <c r="A163" s="226" t="s">
        <v>1250</v>
      </c>
      <c r="B163" s="858" t="s">
        <v>1249</v>
      </c>
      <c r="C163" s="923"/>
      <c r="D163" s="924"/>
      <c r="E163" s="925"/>
      <c r="F163" s="924"/>
    </row>
    <row r="164" spans="1:6" ht="105.6" hidden="1" x14ac:dyDescent="0.25">
      <c r="A164" s="226"/>
      <c r="B164" s="803" t="s">
        <v>1254</v>
      </c>
      <c r="C164" s="923">
        <v>4</v>
      </c>
      <c r="D164" s="924" t="s">
        <v>981</v>
      </c>
      <c r="E164" s="925">
        <v>85000</v>
      </c>
      <c r="F164" s="924"/>
    </row>
    <row r="165" spans="1:6" ht="41.4" hidden="1" x14ac:dyDescent="0.25">
      <c r="A165" s="226"/>
      <c r="B165" s="303" t="s">
        <v>1325</v>
      </c>
      <c r="C165" s="923"/>
      <c r="D165" s="924"/>
      <c r="E165" s="925"/>
      <c r="F165" s="924"/>
    </row>
    <row r="166" spans="1:6" hidden="1" x14ac:dyDescent="0.25">
      <c r="A166" s="226"/>
      <c r="B166" s="326"/>
      <c r="C166" s="923"/>
      <c r="D166" s="924"/>
      <c r="E166" s="925"/>
      <c r="F166" s="924"/>
    </row>
    <row r="167" spans="1:6" x14ac:dyDescent="0.25">
      <c r="A167" s="335" t="s">
        <v>636</v>
      </c>
      <c r="B167" s="926" t="s">
        <v>848</v>
      </c>
      <c r="C167" s="923"/>
      <c r="D167" s="924"/>
      <c r="E167" s="925"/>
      <c r="F167" s="924"/>
    </row>
    <row r="168" spans="1:6" x14ac:dyDescent="0.25">
      <c r="A168" s="226"/>
      <c r="B168" s="857"/>
      <c r="C168" s="923"/>
      <c r="D168" s="924"/>
      <c r="E168" s="925"/>
      <c r="F168" s="924"/>
    </row>
    <row r="169" spans="1:6" ht="79.2" x14ac:dyDescent="0.25">
      <c r="A169" s="226"/>
      <c r="B169" s="804" t="s">
        <v>849</v>
      </c>
      <c r="C169" s="906"/>
      <c r="D169" s="907"/>
      <c r="E169" s="908"/>
      <c r="F169" s="907"/>
    </row>
    <row r="170" spans="1:6" x14ac:dyDescent="0.25">
      <c r="A170" s="226"/>
      <c r="B170" s="804"/>
      <c r="C170" s="906"/>
      <c r="D170" s="907"/>
      <c r="E170" s="908"/>
      <c r="F170" s="907"/>
    </row>
    <row r="171" spans="1:6" ht="39.6" x14ac:dyDescent="0.25">
      <c r="A171" s="226"/>
      <c r="B171" s="804" t="s">
        <v>850</v>
      </c>
      <c r="C171" s="906"/>
      <c r="D171" s="907"/>
      <c r="E171" s="908"/>
      <c r="F171" s="907"/>
    </row>
    <row r="172" spans="1:6" x14ac:dyDescent="0.25">
      <c r="A172" s="226"/>
      <c r="B172" s="804"/>
      <c r="C172" s="906"/>
      <c r="D172" s="907"/>
      <c r="E172" s="908"/>
      <c r="F172" s="907"/>
    </row>
    <row r="173" spans="1:6" x14ac:dyDescent="0.25">
      <c r="A173" s="226"/>
      <c r="B173" s="326" t="s">
        <v>76</v>
      </c>
      <c r="C173" s="906"/>
      <c r="D173" s="907"/>
      <c r="E173" s="908"/>
      <c r="F173" s="907"/>
    </row>
    <row r="174" spans="1:6" x14ac:dyDescent="0.25">
      <c r="A174" s="226"/>
      <c r="B174" s="745" t="s">
        <v>1018</v>
      </c>
      <c r="C174" s="906"/>
      <c r="D174" s="907"/>
      <c r="E174" s="908"/>
      <c r="F174" s="907"/>
    </row>
    <row r="175" spans="1:6" x14ac:dyDescent="0.25">
      <c r="A175" s="226"/>
      <c r="B175" s="745"/>
      <c r="C175" s="906"/>
      <c r="D175" s="907"/>
      <c r="E175" s="908"/>
      <c r="F175" s="907"/>
    </row>
    <row r="176" spans="1:6" x14ac:dyDescent="0.25">
      <c r="A176" s="226"/>
      <c r="B176" s="326" t="s">
        <v>789</v>
      </c>
      <c r="C176" s="906"/>
      <c r="D176" s="907"/>
      <c r="E176" s="908"/>
      <c r="F176" s="907"/>
    </row>
    <row r="177" spans="1:6" ht="73.2" hidden="1" customHeight="1" x14ac:dyDescent="0.25">
      <c r="A177" s="627" t="s">
        <v>851</v>
      </c>
      <c r="B177" s="303" t="s">
        <v>1020</v>
      </c>
      <c r="C177" s="906"/>
      <c r="D177" s="907" t="s">
        <v>78</v>
      </c>
      <c r="E177" s="908">
        <v>3364</v>
      </c>
      <c r="F177" s="907">
        <f>E177*C177</f>
        <v>0</v>
      </c>
    </row>
    <row r="178" spans="1:6" hidden="1" x14ac:dyDescent="0.25">
      <c r="A178" s="627"/>
      <c r="B178" s="326"/>
      <c r="C178" s="906"/>
      <c r="D178" s="907"/>
      <c r="E178" s="908"/>
      <c r="F178" s="907"/>
    </row>
    <row r="179" spans="1:6" ht="73.2" hidden="1" customHeight="1" x14ac:dyDescent="0.25">
      <c r="A179" s="627" t="s">
        <v>853</v>
      </c>
      <c r="B179" s="303" t="s">
        <v>1019</v>
      </c>
      <c r="C179" s="906"/>
      <c r="D179" s="907" t="s">
        <v>78</v>
      </c>
      <c r="E179" s="908">
        <v>4373</v>
      </c>
      <c r="F179" s="907">
        <f>E179*C179</f>
        <v>0</v>
      </c>
    </row>
    <row r="180" spans="1:6" x14ac:dyDescent="0.25">
      <c r="A180" s="627"/>
      <c r="B180" s="303"/>
      <c r="C180" s="906"/>
      <c r="D180" s="907"/>
      <c r="E180" s="908"/>
      <c r="F180" s="907"/>
    </row>
    <row r="181" spans="1:6" ht="88.2" customHeight="1" x14ac:dyDescent="0.25">
      <c r="A181" s="627" t="s">
        <v>854</v>
      </c>
      <c r="B181" s="303" t="s">
        <v>1372</v>
      </c>
      <c r="C181" s="906"/>
      <c r="D181" s="907" t="s">
        <v>78</v>
      </c>
      <c r="E181" s="908">
        <v>8577</v>
      </c>
      <c r="F181" s="907">
        <f>E181*C181</f>
        <v>0</v>
      </c>
    </row>
    <row r="182" spans="1:6" x14ac:dyDescent="0.25">
      <c r="A182" s="627"/>
      <c r="B182" s="303"/>
      <c r="C182" s="906"/>
      <c r="D182" s="907"/>
      <c r="E182" s="908"/>
      <c r="F182" s="907"/>
    </row>
    <row r="183" spans="1:6" ht="75.599999999999994" customHeight="1" x14ac:dyDescent="0.25">
      <c r="A183" s="226" t="s">
        <v>856</v>
      </c>
      <c r="B183" s="303" t="s">
        <v>1160</v>
      </c>
      <c r="C183" s="906"/>
      <c r="D183" s="907" t="s">
        <v>78</v>
      </c>
      <c r="E183" s="908">
        <v>7500</v>
      </c>
      <c r="F183" s="907">
        <f>E183*C183</f>
        <v>0</v>
      </c>
    </row>
    <row r="184" spans="1:6" x14ac:dyDescent="0.25">
      <c r="A184" s="226"/>
      <c r="B184" s="303"/>
      <c r="C184" s="923"/>
      <c r="D184" s="924"/>
      <c r="E184" s="925"/>
      <c r="F184" s="924"/>
    </row>
    <row r="185" spans="1:6" ht="75.599999999999994" customHeight="1" x14ac:dyDescent="0.25">
      <c r="A185" s="226" t="s">
        <v>856</v>
      </c>
      <c r="B185" s="303" t="s">
        <v>1373</v>
      </c>
      <c r="C185" s="923"/>
      <c r="D185" s="924" t="s">
        <v>78</v>
      </c>
      <c r="E185" s="925">
        <v>12100</v>
      </c>
      <c r="F185" s="924">
        <f>E185*C185</f>
        <v>0</v>
      </c>
    </row>
    <row r="186" spans="1:6" x14ac:dyDescent="0.25">
      <c r="A186" s="226"/>
      <c r="B186" s="303"/>
      <c r="C186" s="906"/>
      <c r="D186" s="907"/>
      <c r="E186" s="908"/>
      <c r="F186" s="907"/>
    </row>
    <row r="187" spans="1:6" x14ac:dyDescent="0.25">
      <c r="A187" s="226"/>
      <c r="B187" s="745" t="s">
        <v>1022</v>
      </c>
      <c r="C187" s="906"/>
      <c r="D187" s="907"/>
      <c r="E187" s="908"/>
      <c r="F187" s="907"/>
    </row>
    <row r="188" spans="1:6" ht="69" hidden="1" x14ac:dyDescent="0.25">
      <c r="A188" s="627" t="s">
        <v>857</v>
      </c>
      <c r="B188" s="303" t="s">
        <v>1032</v>
      </c>
      <c r="C188" s="906"/>
      <c r="D188" s="907" t="s">
        <v>78</v>
      </c>
      <c r="E188" s="908">
        <v>3364</v>
      </c>
      <c r="F188" s="907">
        <f>E188*C188</f>
        <v>0</v>
      </c>
    </row>
    <row r="189" spans="1:6" x14ac:dyDescent="0.25">
      <c r="A189" s="627"/>
      <c r="B189" s="326"/>
      <c r="C189" s="906"/>
      <c r="D189" s="907"/>
      <c r="E189" s="908"/>
      <c r="F189" s="907"/>
    </row>
    <row r="190" spans="1:6" ht="73.8" customHeight="1" x14ac:dyDescent="0.25">
      <c r="A190" s="627" t="s">
        <v>858</v>
      </c>
      <c r="B190" s="303" t="s">
        <v>1019</v>
      </c>
      <c r="C190" s="906"/>
      <c r="D190" s="907" t="s">
        <v>78</v>
      </c>
      <c r="E190" s="908">
        <f>E181</f>
        <v>8577</v>
      </c>
      <c r="F190" s="907">
        <f>E190*C190</f>
        <v>0</v>
      </c>
    </row>
    <row r="191" spans="1:6" x14ac:dyDescent="0.25">
      <c r="A191" s="627"/>
      <c r="B191" s="303"/>
      <c r="C191" s="906"/>
      <c r="D191" s="907"/>
      <c r="E191" s="908"/>
      <c r="F191" s="907"/>
    </row>
    <row r="192" spans="1:6" ht="88.8" customHeight="1" x14ac:dyDescent="0.25">
      <c r="A192" s="627" t="s">
        <v>861</v>
      </c>
      <c r="B192" s="303" t="s">
        <v>1373</v>
      </c>
      <c r="C192" s="923"/>
      <c r="D192" s="924" t="s">
        <v>78</v>
      </c>
      <c r="E192" s="925">
        <v>12100</v>
      </c>
      <c r="F192" s="924">
        <f>E192*C192</f>
        <v>0</v>
      </c>
    </row>
    <row r="193" spans="1:6" x14ac:dyDescent="0.25">
      <c r="A193" s="226"/>
      <c r="B193" s="303"/>
      <c r="C193" s="906"/>
      <c r="D193" s="907"/>
      <c r="E193" s="908"/>
      <c r="F193" s="907"/>
    </row>
    <row r="194" spans="1:6" ht="81.599999999999994" customHeight="1" x14ac:dyDescent="0.25">
      <c r="A194" s="226" t="s">
        <v>863</v>
      </c>
      <c r="B194" s="303" t="s">
        <v>1031</v>
      </c>
      <c r="C194" s="906"/>
      <c r="D194" s="907" t="s">
        <v>78</v>
      </c>
      <c r="E194" s="908">
        <f>E183</f>
        <v>7500</v>
      </c>
      <c r="F194" s="907">
        <f>E194*C194</f>
        <v>0</v>
      </c>
    </row>
    <row r="195" spans="1:6" hidden="1" x14ac:dyDescent="0.25">
      <c r="A195" s="708"/>
      <c r="B195" s="916"/>
      <c r="C195" s="782"/>
      <c r="D195" s="726"/>
      <c r="E195" s="776"/>
      <c r="F195" s="726"/>
    </row>
    <row r="196" spans="1:6" hidden="1" x14ac:dyDescent="0.25">
      <c r="A196" s="714"/>
      <c r="B196" s="810" t="s">
        <v>1023</v>
      </c>
      <c r="C196" s="811"/>
      <c r="D196" s="629"/>
      <c r="E196" s="778"/>
      <c r="F196" s="629"/>
    </row>
    <row r="197" spans="1:6" ht="73.8" hidden="1" customHeight="1" x14ac:dyDescent="0.25">
      <c r="A197" s="627" t="s">
        <v>864</v>
      </c>
      <c r="B197" s="303" t="s">
        <v>1020</v>
      </c>
      <c r="C197" s="906"/>
      <c r="D197" s="907" t="s">
        <v>78</v>
      </c>
      <c r="E197" s="908">
        <v>3364</v>
      </c>
      <c r="F197" s="907">
        <f>E197*C197</f>
        <v>0</v>
      </c>
    </row>
    <row r="198" spans="1:6" hidden="1" x14ac:dyDescent="0.25">
      <c r="A198" s="627"/>
      <c r="B198" s="326"/>
      <c r="C198" s="906"/>
      <c r="D198" s="907"/>
      <c r="E198" s="908"/>
      <c r="F198" s="907"/>
    </row>
    <row r="199" spans="1:6" ht="69" hidden="1" customHeight="1" x14ac:dyDescent="0.25">
      <c r="A199" s="627" t="s">
        <v>870</v>
      </c>
      <c r="B199" s="303" t="s">
        <v>1019</v>
      </c>
      <c r="C199" s="906"/>
      <c r="D199" s="907" t="s">
        <v>78</v>
      </c>
      <c r="E199" s="908">
        <v>4373</v>
      </c>
      <c r="F199" s="907">
        <f>E199*C199</f>
        <v>0</v>
      </c>
    </row>
    <row r="200" spans="1:6" hidden="1" x14ac:dyDescent="0.25">
      <c r="A200" s="627"/>
      <c r="B200" s="303"/>
      <c r="C200" s="906"/>
      <c r="D200" s="907"/>
      <c r="E200" s="908"/>
      <c r="F200" s="907"/>
    </row>
    <row r="201" spans="1:6" ht="88.8" hidden="1" customHeight="1" x14ac:dyDescent="0.25">
      <c r="A201" s="627" t="s">
        <v>871</v>
      </c>
      <c r="B201" s="303" t="s">
        <v>1021</v>
      </c>
      <c r="C201" s="906"/>
      <c r="D201" s="907" t="s">
        <v>78</v>
      </c>
      <c r="E201" s="908">
        <f>E190</f>
        <v>8577</v>
      </c>
      <c r="F201" s="907">
        <f>E201*C201</f>
        <v>0</v>
      </c>
    </row>
    <row r="202" spans="1:6" hidden="1" x14ac:dyDescent="0.25">
      <c r="A202" s="226"/>
      <c r="B202" s="303"/>
      <c r="C202" s="906"/>
      <c r="D202" s="907"/>
      <c r="E202" s="908"/>
      <c r="F202" s="907"/>
    </row>
    <row r="203" spans="1:6" ht="76.8" hidden="1" customHeight="1" x14ac:dyDescent="0.25">
      <c r="A203" s="226" t="s">
        <v>872</v>
      </c>
      <c r="B203" s="303" t="s">
        <v>1160</v>
      </c>
      <c r="C203" s="906"/>
      <c r="D203" s="907" t="s">
        <v>78</v>
      </c>
      <c r="E203" s="908">
        <f>E194</f>
        <v>7500</v>
      </c>
      <c r="F203" s="907">
        <f>E203*C203</f>
        <v>0</v>
      </c>
    </row>
    <row r="204" spans="1:6" x14ac:dyDescent="0.25">
      <c r="A204" s="226"/>
      <c r="B204" s="303"/>
      <c r="C204" s="923"/>
      <c r="D204" s="924"/>
      <c r="E204" s="925"/>
      <c r="F204" s="924"/>
    </row>
    <row r="205" spans="1:6" x14ac:dyDescent="0.25">
      <c r="A205" s="226"/>
      <c r="B205" s="303"/>
      <c r="C205" s="923"/>
      <c r="D205" s="924"/>
      <c r="E205" s="925"/>
      <c r="F205" s="924"/>
    </row>
    <row r="206" spans="1:6" x14ac:dyDescent="0.25">
      <c r="A206" s="226"/>
      <c r="B206" s="303"/>
      <c r="C206" s="923"/>
      <c r="D206" s="924"/>
      <c r="E206" s="925"/>
      <c r="F206" s="924"/>
    </row>
    <row r="207" spans="1:6" x14ac:dyDescent="0.25">
      <c r="A207" s="226"/>
      <c r="B207" s="303"/>
      <c r="C207" s="923"/>
      <c r="D207" s="924"/>
      <c r="E207" s="925"/>
      <c r="F207" s="924"/>
    </row>
    <row r="208" spans="1:6" x14ac:dyDescent="0.25">
      <c r="A208" s="226"/>
      <c r="B208" s="303"/>
      <c r="C208" s="923"/>
      <c r="D208" s="924"/>
      <c r="E208" s="925"/>
      <c r="F208" s="924"/>
    </row>
    <row r="209" spans="1:6" x14ac:dyDescent="0.25">
      <c r="A209" s="226"/>
      <c r="B209" s="303"/>
      <c r="C209" s="923"/>
      <c r="D209" s="924"/>
      <c r="E209" s="925"/>
      <c r="F209" s="924"/>
    </row>
    <row r="210" spans="1:6" x14ac:dyDescent="0.25">
      <c r="A210" s="226"/>
      <c r="B210" s="326"/>
      <c r="C210" s="906"/>
      <c r="D210" s="907"/>
      <c r="E210" s="908"/>
      <c r="F210" s="907"/>
    </row>
    <row r="211" spans="1:6" x14ac:dyDescent="0.25">
      <c r="A211" s="226"/>
      <c r="B211" s="326" t="s">
        <v>855</v>
      </c>
      <c r="C211" s="906"/>
      <c r="D211" s="907"/>
      <c r="E211" s="908"/>
      <c r="F211" s="907"/>
    </row>
    <row r="212" spans="1:6" ht="27.6" x14ac:dyDescent="0.25">
      <c r="A212" s="226"/>
      <c r="B212" s="326" t="s">
        <v>74</v>
      </c>
      <c r="C212" s="906"/>
      <c r="D212" s="907"/>
      <c r="E212" s="908"/>
      <c r="F212" s="907"/>
    </row>
    <row r="213" spans="1:6" x14ac:dyDescent="0.25">
      <c r="A213" s="226"/>
      <c r="B213" s="326"/>
      <c r="C213" s="906"/>
      <c r="D213" s="907"/>
      <c r="E213" s="908"/>
      <c r="F213" s="907"/>
    </row>
    <row r="214" spans="1:6" ht="119.4" customHeight="1" x14ac:dyDescent="0.25">
      <c r="A214" s="226" t="s">
        <v>876</v>
      </c>
      <c r="B214" s="303" t="s">
        <v>1024</v>
      </c>
      <c r="C214" s="906"/>
      <c r="D214" s="907" t="s">
        <v>78</v>
      </c>
      <c r="E214" s="908">
        <v>9500</v>
      </c>
      <c r="F214" s="907">
        <f>E214*C214</f>
        <v>0</v>
      </c>
    </row>
    <row r="215" spans="1:6" x14ac:dyDescent="0.25">
      <c r="A215" s="226"/>
      <c r="B215" s="326"/>
      <c r="C215" s="906"/>
      <c r="D215" s="907"/>
      <c r="E215" s="908"/>
      <c r="F215" s="907"/>
    </row>
    <row r="216" spans="1:6" ht="116.4" customHeight="1" x14ac:dyDescent="0.25">
      <c r="A216" s="226" t="s">
        <v>878</v>
      </c>
      <c r="B216" s="303" t="s">
        <v>1026</v>
      </c>
      <c r="C216" s="906"/>
      <c r="D216" s="907" t="s">
        <v>78</v>
      </c>
      <c r="E216" s="908">
        <f>E214</f>
        <v>9500</v>
      </c>
      <c r="F216" s="907">
        <f>E216*C216</f>
        <v>0</v>
      </c>
    </row>
    <row r="217" spans="1:6" x14ac:dyDescent="0.25">
      <c r="A217" s="226"/>
      <c r="B217" s="326"/>
      <c r="C217" s="923"/>
      <c r="D217" s="924"/>
      <c r="E217" s="925"/>
      <c r="F217" s="924"/>
    </row>
    <row r="218" spans="1:6" ht="120.6" hidden="1" customHeight="1" x14ac:dyDescent="0.25">
      <c r="A218" s="226" t="s">
        <v>879</v>
      </c>
      <c r="B218" s="303" t="s">
        <v>1025</v>
      </c>
      <c r="C218" s="923"/>
      <c r="D218" s="924" t="s">
        <v>78</v>
      </c>
      <c r="E218" s="925">
        <f>E216</f>
        <v>9500</v>
      </c>
      <c r="F218" s="924">
        <f>E218*C218</f>
        <v>0</v>
      </c>
    </row>
    <row r="219" spans="1:6" hidden="1" x14ac:dyDescent="0.25">
      <c r="A219" s="226"/>
      <c r="B219" s="303"/>
      <c r="C219" s="923"/>
      <c r="D219" s="924"/>
      <c r="E219" s="925"/>
      <c r="F219" s="924"/>
    </row>
    <row r="220" spans="1:6" x14ac:dyDescent="0.25">
      <c r="A220" s="226"/>
      <c r="B220" s="326" t="s">
        <v>860</v>
      </c>
      <c r="C220" s="923"/>
      <c r="D220" s="924"/>
      <c r="E220" s="925"/>
      <c r="F220" s="924"/>
    </row>
    <row r="221" spans="1:6" x14ac:dyDescent="0.25">
      <c r="A221" s="226"/>
      <c r="B221" s="326"/>
      <c r="C221" s="923"/>
      <c r="D221" s="924"/>
      <c r="E221" s="925"/>
      <c r="F221" s="924"/>
    </row>
    <row r="222" spans="1:6" ht="45.6" customHeight="1" x14ac:dyDescent="0.25">
      <c r="A222" s="226"/>
      <c r="B222" s="671" t="s">
        <v>866</v>
      </c>
      <c r="C222" s="805"/>
      <c r="D222" s="805"/>
      <c r="E222" s="805"/>
      <c r="F222" s="805"/>
    </row>
    <row r="223" spans="1:6" ht="61.2" hidden="1" customHeight="1" x14ac:dyDescent="0.25">
      <c r="A223" s="226" t="s">
        <v>1033</v>
      </c>
      <c r="B223" s="303" t="s">
        <v>862</v>
      </c>
      <c r="C223" s="906"/>
      <c r="D223" s="907" t="s">
        <v>78</v>
      </c>
      <c r="E223" s="908">
        <v>5429</v>
      </c>
      <c r="F223" s="907">
        <f>E223*C223</f>
        <v>0</v>
      </c>
    </row>
    <row r="224" spans="1:6" hidden="1" x14ac:dyDescent="0.25">
      <c r="A224" s="226"/>
      <c r="B224" s="326"/>
      <c r="C224" s="906"/>
      <c r="D224" s="907"/>
      <c r="E224" s="908"/>
      <c r="F224" s="907"/>
    </row>
    <row r="225" spans="1:6" ht="60.6" customHeight="1" x14ac:dyDescent="0.25">
      <c r="A225" s="226" t="s">
        <v>1034</v>
      </c>
      <c r="B225" s="303" t="s">
        <v>865</v>
      </c>
      <c r="C225" s="906"/>
      <c r="D225" s="907" t="s">
        <v>78</v>
      </c>
      <c r="E225" s="908">
        <f>E223</f>
        <v>5429</v>
      </c>
      <c r="F225" s="907">
        <f>E225*C225</f>
        <v>0</v>
      </c>
    </row>
    <row r="226" spans="1:6" x14ac:dyDescent="0.25">
      <c r="A226" s="226"/>
      <c r="B226" s="326"/>
      <c r="C226" s="906"/>
      <c r="D226" s="907"/>
      <c r="E226" s="908"/>
      <c r="F226" s="907"/>
    </row>
    <row r="227" spans="1:6" ht="58.2" hidden="1" customHeight="1" x14ac:dyDescent="0.25">
      <c r="A227" s="226" t="s">
        <v>1035</v>
      </c>
      <c r="B227" s="324" t="s">
        <v>867</v>
      </c>
      <c r="C227" s="906"/>
      <c r="D227" s="907" t="s">
        <v>78</v>
      </c>
      <c r="E227" s="908">
        <f>E225</f>
        <v>5429</v>
      </c>
      <c r="F227" s="907">
        <f>E227*C227</f>
        <v>0</v>
      </c>
    </row>
    <row r="228" spans="1:6" x14ac:dyDescent="0.25">
      <c r="A228" s="226"/>
      <c r="B228" s="806" t="s">
        <v>869</v>
      </c>
      <c r="C228" s="906"/>
      <c r="D228" s="907"/>
      <c r="E228" s="908"/>
      <c r="F228" s="907"/>
    </row>
    <row r="229" spans="1:6" ht="31.2" customHeight="1" x14ac:dyDescent="0.25">
      <c r="A229" s="226" t="s">
        <v>870</v>
      </c>
      <c r="B229" s="324" t="s">
        <v>868</v>
      </c>
      <c r="C229" s="906"/>
      <c r="D229" s="907" t="s">
        <v>78</v>
      </c>
      <c r="E229" s="908">
        <v>8050</v>
      </c>
      <c r="F229" s="907">
        <f>E229*C229</f>
        <v>0</v>
      </c>
    </row>
    <row r="230" spans="1:6" ht="33" hidden="1" customHeight="1" x14ac:dyDescent="0.25">
      <c r="A230" s="226" t="s">
        <v>871</v>
      </c>
      <c r="B230" s="324" t="s">
        <v>873</v>
      </c>
      <c r="C230" s="906"/>
      <c r="D230" s="907" t="s">
        <v>78</v>
      </c>
      <c r="E230" s="908">
        <f>E229</f>
        <v>8050</v>
      </c>
      <c r="F230" s="907">
        <f>E230*C230</f>
        <v>0</v>
      </c>
    </row>
    <row r="231" spans="1:6" x14ac:dyDescent="0.25">
      <c r="A231" s="226"/>
      <c r="B231" s="324"/>
      <c r="C231" s="906"/>
      <c r="D231" s="907"/>
      <c r="E231" s="908"/>
      <c r="F231" s="907"/>
    </row>
    <row r="232" spans="1:6" ht="30.6" customHeight="1" x14ac:dyDescent="0.25">
      <c r="A232" s="226" t="s">
        <v>872</v>
      </c>
      <c r="B232" s="324" t="s">
        <v>874</v>
      </c>
      <c r="C232" s="906"/>
      <c r="D232" s="907" t="s">
        <v>78</v>
      </c>
      <c r="E232" s="908">
        <f>E230</f>
        <v>8050</v>
      </c>
      <c r="F232" s="907">
        <f>E232*C232</f>
        <v>0</v>
      </c>
    </row>
    <row r="233" spans="1:6" x14ac:dyDescent="0.25">
      <c r="A233" s="226"/>
      <c r="B233" s="324"/>
      <c r="C233" s="906"/>
      <c r="D233" s="907"/>
      <c r="E233" s="908"/>
      <c r="F233" s="907"/>
    </row>
    <row r="234" spans="1:6" x14ac:dyDescent="0.25">
      <c r="A234" s="226"/>
      <c r="B234" s="806" t="s">
        <v>875</v>
      </c>
      <c r="C234" s="906"/>
      <c r="D234" s="907"/>
      <c r="E234" s="908"/>
      <c r="F234" s="907"/>
    </row>
    <row r="235" spans="1:6" ht="31.2" customHeight="1" x14ac:dyDescent="0.25">
      <c r="A235" s="226" t="s">
        <v>876</v>
      </c>
      <c r="B235" s="324" t="s">
        <v>877</v>
      </c>
      <c r="C235" s="906"/>
      <c r="D235" s="907" t="s">
        <v>78</v>
      </c>
      <c r="E235" s="908">
        <v>8050</v>
      </c>
      <c r="F235" s="907">
        <f>E235*C235</f>
        <v>0</v>
      </c>
    </row>
    <row r="236" spans="1:6" ht="31.2" hidden="1" customHeight="1" x14ac:dyDescent="0.25">
      <c r="A236" s="226" t="s">
        <v>878</v>
      </c>
      <c r="B236" s="324" t="s">
        <v>880</v>
      </c>
      <c r="C236" s="906"/>
      <c r="D236" s="907" t="s">
        <v>78</v>
      </c>
      <c r="E236" s="908">
        <f>E235</f>
        <v>8050</v>
      </c>
      <c r="F236" s="907">
        <f>E236*C236</f>
        <v>0</v>
      </c>
    </row>
    <row r="237" spans="1:6" x14ac:dyDescent="0.25">
      <c r="A237" s="226"/>
      <c r="B237" s="324"/>
      <c r="C237" s="906"/>
      <c r="D237" s="907"/>
      <c r="E237" s="908"/>
      <c r="F237" s="907"/>
    </row>
    <row r="238" spans="1:6" ht="30.6" customHeight="1" x14ac:dyDescent="0.25">
      <c r="A238" s="226" t="s">
        <v>879</v>
      </c>
      <c r="B238" s="324" t="s">
        <v>881</v>
      </c>
      <c r="C238" s="906"/>
      <c r="D238" s="907" t="s">
        <v>78</v>
      </c>
      <c r="E238" s="908">
        <f>E236</f>
        <v>8050</v>
      </c>
      <c r="F238" s="907">
        <f>E238*C238</f>
        <v>0</v>
      </c>
    </row>
    <row r="239" spans="1:6" x14ac:dyDescent="0.25">
      <c r="A239" s="226"/>
      <c r="B239" s="324"/>
      <c r="C239" s="906"/>
      <c r="D239" s="907"/>
      <c r="E239" s="908"/>
      <c r="F239" s="907"/>
    </row>
    <row r="240" spans="1:6" x14ac:dyDescent="0.25">
      <c r="A240" s="335" t="s">
        <v>890</v>
      </c>
      <c r="B240" s="857" t="s">
        <v>882</v>
      </c>
      <c r="C240" s="906"/>
      <c r="D240" s="907"/>
      <c r="E240" s="908"/>
      <c r="F240" s="907"/>
    </row>
    <row r="241" spans="1:6" x14ac:dyDescent="0.25">
      <c r="A241" s="226"/>
      <c r="B241" s="857"/>
      <c r="C241" s="906"/>
      <c r="D241" s="907"/>
      <c r="E241" s="908"/>
      <c r="F241" s="907"/>
    </row>
    <row r="242" spans="1:6" ht="39.6" x14ac:dyDescent="0.25">
      <c r="A242" s="226"/>
      <c r="B242" s="857" t="s">
        <v>883</v>
      </c>
      <c r="C242" s="906"/>
      <c r="D242" s="907"/>
      <c r="E242" s="908"/>
      <c r="F242" s="907"/>
    </row>
    <row r="243" spans="1:6" x14ac:dyDescent="0.25">
      <c r="A243" s="226"/>
      <c r="B243" s="793"/>
      <c r="C243" s="906"/>
      <c r="D243" s="907"/>
      <c r="E243" s="908"/>
      <c r="F243" s="907"/>
    </row>
    <row r="244" spans="1:6" ht="52.8" x14ac:dyDescent="0.25">
      <c r="A244" s="226"/>
      <c r="B244" s="857" t="s">
        <v>884</v>
      </c>
      <c r="C244" s="906"/>
      <c r="D244" s="907"/>
      <c r="E244" s="908"/>
      <c r="F244" s="907"/>
    </row>
    <row r="245" spans="1:6" ht="39.6" x14ac:dyDescent="0.25">
      <c r="A245" s="226"/>
      <c r="B245" s="857" t="s">
        <v>885</v>
      </c>
      <c r="C245" s="906"/>
      <c r="D245" s="907"/>
      <c r="E245" s="908"/>
      <c r="F245" s="907"/>
    </row>
    <row r="246" spans="1:6" x14ac:dyDescent="0.25">
      <c r="A246" s="226"/>
      <c r="B246" s="857"/>
      <c r="C246" s="906"/>
      <c r="D246" s="907"/>
      <c r="E246" s="908"/>
      <c r="F246" s="907"/>
    </row>
    <row r="247" spans="1:6" ht="46.2" customHeight="1" x14ac:dyDescent="0.25">
      <c r="A247" s="226"/>
      <c r="B247" s="857" t="s">
        <v>886</v>
      </c>
      <c r="C247" s="906"/>
      <c r="D247" s="907"/>
      <c r="E247" s="908"/>
      <c r="F247" s="907"/>
    </row>
    <row r="248" spans="1:6" x14ac:dyDescent="0.25">
      <c r="A248" s="226"/>
      <c r="B248" s="324"/>
      <c r="C248" s="906"/>
      <c r="D248" s="907"/>
      <c r="E248" s="908"/>
      <c r="F248" s="907"/>
    </row>
    <row r="249" spans="1:6" ht="36.6" customHeight="1" x14ac:dyDescent="0.25">
      <c r="A249" s="226"/>
      <c r="B249" s="806" t="s">
        <v>887</v>
      </c>
      <c r="C249" s="923"/>
      <c r="D249" s="924"/>
      <c r="E249" s="925"/>
      <c r="F249" s="924"/>
    </row>
    <row r="250" spans="1:6" x14ac:dyDescent="0.25">
      <c r="A250" s="226"/>
      <c r="B250" s="806"/>
      <c r="C250" s="923"/>
      <c r="D250" s="924"/>
      <c r="E250" s="925"/>
      <c r="F250" s="924"/>
    </row>
    <row r="251" spans="1:6" ht="46.8" customHeight="1" x14ac:dyDescent="0.25">
      <c r="A251" s="226"/>
      <c r="B251" s="806" t="s">
        <v>888</v>
      </c>
      <c r="C251" s="923"/>
      <c r="D251" s="924"/>
      <c r="E251" s="925"/>
      <c r="F251" s="924"/>
    </row>
    <row r="252" spans="1:6" x14ac:dyDescent="0.25">
      <c r="A252" s="226"/>
      <c r="B252" s="324"/>
      <c r="C252" s="906"/>
      <c r="D252" s="907"/>
      <c r="E252" s="908"/>
      <c r="F252" s="907"/>
    </row>
    <row r="253" spans="1:6" ht="31.8" customHeight="1" x14ac:dyDescent="0.25">
      <c r="A253" s="226"/>
      <c r="B253" s="806" t="s">
        <v>889</v>
      </c>
      <c r="C253" s="906"/>
      <c r="D253" s="907"/>
      <c r="E253" s="908"/>
      <c r="F253" s="907"/>
    </row>
    <row r="254" spans="1:6" x14ac:dyDescent="0.25">
      <c r="A254" s="226"/>
      <c r="B254" s="806"/>
      <c r="C254" s="906"/>
      <c r="D254" s="907"/>
      <c r="E254" s="908"/>
      <c r="F254" s="907"/>
    </row>
    <row r="255" spans="1:6" x14ac:dyDescent="0.25">
      <c r="A255" s="226"/>
      <c r="B255" s="806" t="s">
        <v>893</v>
      </c>
      <c r="C255" s="906"/>
      <c r="D255" s="907"/>
      <c r="E255" s="908"/>
      <c r="F255" s="907"/>
    </row>
    <row r="256" spans="1:6" x14ac:dyDescent="0.25">
      <c r="A256" s="226"/>
      <c r="B256" s="806"/>
      <c r="C256" s="906"/>
      <c r="D256" s="907"/>
      <c r="E256" s="908"/>
      <c r="F256" s="907"/>
    </row>
    <row r="257" spans="1:6" ht="55.2" x14ac:dyDescent="0.25">
      <c r="A257" s="226" t="s">
        <v>892</v>
      </c>
      <c r="B257" s="324" t="s">
        <v>1344</v>
      </c>
      <c r="C257" s="906"/>
      <c r="D257" s="907"/>
      <c r="E257" s="908"/>
      <c r="F257" s="907"/>
    </row>
    <row r="258" spans="1:6" hidden="1" x14ac:dyDescent="0.25">
      <c r="A258" s="226"/>
      <c r="B258" s="324" t="s">
        <v>715</v>
      </c>
      <c r="C258" s="906"/>
      <c r="D258" s="907" t="s">
        <v>78</v>
      </c>
      <c r="E258" s="908">
        <v>5429</v>
      </c>
      <c r="F258" s="907">
        <f>E258*C258</f>
        <v>0</v>
      </c>
    </row>
    <row r="259" spans="1:6" x14ac:dyDescent="0.25">
      <c r="A259" s="226"/>
      <c r="B259" s="324" t="s">
        <v>716</v>
      </c>
      <c r="C259" s="906"/>
      <c r="D259" s="907" t="s">
        <v>78</v>
      </c>
      <c r="E259" s="908">
        <v>5429</v>
      </c>
      <c r="F259" s="907">
        <f>E259*C259</f>
        <v>0</v>
      </c>
    </row>
    <row r="260" spans="1:6" hidden="1" x14ac:dyDescent="0.25">
      <c r="A260" s="226"/>
      <c r="B260" s="324" t="s">
        <v>712</v>
      </c>
      <c r="C260" s="906"/>
      <c r="D260" s="907" t="s">
        <v>78</v>
      </c>
      <c r="E260" s="908">
        <v>5429</v>
      </c>
      <c r="F260" s="907">
        <f>E260*C260</f>
        <v>0</v>
      </c>
    </row>
    <row r="261" spans="1:6" ht="32.4" hidden="1" customHeight="1" x14ac:dyDescent="0.25">
      <c r="A261" s="226" t="s">
        <v>892</v>
      </c>
      <c r="B261" s="324" t="s">
        <v>891</v>
      </c>
      <c r="C261" s="906"/>
      <c r="D261" s="907"/>
      <c r="E261" s="908"/>
      <c r="F261" s="907"/>
    </row>
    <row r="262" spans="1:6" hidden="1" x14ac:dyDescent="0.25">
      <c r="A262" s="226"/>
      <c r="B262" s="324" t="s">
        <v>715</v>
      </c>
      <c r="C262" s="906"/>
      <c r="D262" s="907" t="s">
        <v>78</v>
      </c>
      <c r="E262" s="908">
        <v>2067</v>
      </c>
      <c r="F262" s="907">
        <f>E262*C262</f>
        <v>0</v>
      </c>
    </row>
    <row r="263" spans="1:6" hidden="1" x14ac:dyDescent="0.25">
      <c r="A263" s="226"/>
      <c r="B263" s="324" t="s">
        <v>716</v>
      </c>
      <c r="C263" s="906"/>
      <c r="D263" s="907" t="s">
        <v>78</v>
      </c>
      <c r="E263" s="908">
        <v>2067</v>
      </c>
      <c r="F263" s="907">
        <f>E263*C263</f>
        <v>0</v>
      </c>
    </row>
    <row r="264" spans="1:6" hidden="1" x14ac:dyDescent="0.25">
      <c r="A264" s="226"/>
      <c r="B264" s="324" t="s">
        <v>712</v>
      </c>
      <c r="C264" s="906"/>
      <c r="D264" s="907" t="s">
        <v>78</v>
      </c>
      <c r="E264" s="908">
        <v>2067</v>
      </c>
      <c r="F264" s="907">
        <f>E264*C264</f>
        <v>0</v>
      </c>
    </row>
    <row r="265" spans="1:6" x14ac:dyDescent="0.25">
      <c r="A265" s="226"/>
      <c r="B265" s="324"/>
      <c r="C265" s="906"/>
      <c r="D265" s="907"/>
      <c r="E265" s="908"/>
      <c r="F265" s="907"/>
    </row>
    <row r="266" spans="1:6" ht="59.4" hidden="1" customHeight="1" x14ac:dyDescent="0.25">
      <c r="A266" s="226" t="s">
        <v>894</v>
      </c>
      <c r="B266" s="324" t="s">
        <v>895</v>
      </c>
      <c r="C266" s="906"/>
      <c r="D266" s="907" t="s">
        <v>78</v>
      </c>
      <c r="E266" s="908">
        <v>16081</v>
      </c>
      <c r="F266" s="907">
        <f>E266*C266</f>
        <v>0</v>
      </c>
    </row>
    <row r="267" spans="1:6" ht="76.8" customHeight="1" x14ac:dyDescent="0.25">
      <c r="A267" s="226" t="s">
        <v>896</v>
      </c>
      <c r="B267" s="324" t="s">
        <v>1374</v>
      </c>
      <c r="C267" s="906"/>
      <c r="D267" s="907" t="s">
        <v>78</v>
      </c>
      <c r="E267" s="908">
        <f>(25000+5000)*1.25</f>
        <v>37500</v>
      </c>
      <c r="F267" s="907">
        <f>E267*C267</f>
        <v>0</v>
      </c>
    </row>
    <row r="268" spans="1:6" x14ac:dyDescent="0.25">
      <c r="A268" s="226"/>
      <c r="B268" s="326"/>
      <c r="C268" s="906"/>
      <c r="D268" s="907"/>
      <c r="E268" s="908"/>
      <c r="F268" s="907"/>
    </row>
    <row r="269" spans="1:6" customFormat="1" ht="60.6" hidden="1" customHeight="1" x14ac:dyDescent="0.25">
      <c r="A269" s="226" t="s">
        <v>897</v>
      </c>
      <c r="B269" s="324" t="s">
        <v>898</v>
      </c>
      <c r="C269" s="906"/>
      <c r="D269" s="907" t="s">
        <v>78</v>
      </c>
      <c r="E269" s="908">
        <v>16081</v>
      </c>
      <c r="F269" s="907">
        <f>E269*C269</f>
        <v>0</v>
      </c>
    </row>
    <row r="270" spans="1:6" ht="27.6" hidden="1" x14ac:dyDescent="0.25">
      <c r="A270" s="226" t="s">
        <v>897</v>
      </c>
      <c r="B270" s="303" t="s">
        <v>1027</v>
      </c>
      <c r="C270" s="906"/>
      <c r="D270" s="907" t="s">
        <v>78</v>
      </c>
      <c r="E270" s="908">
        <v>15800</v>
      </c>
      <c r="F270" s="907">
        <f>E270*C270</f>
        <v>0</v>
      </c>
    </row>
    <row r="271" spans="1:6" hidden="1" x14ac:dyDescent="0.25">
      <c r="A271" s="226"/>
      <c r="B271" s="326"/>
      <c r="C271" s="906"/>
      <c r="D271" s="907"/>
      <c r="E271" s="908"/>
      <c r="F271" s="907"/>
    </row>
    <row r="272" spans="1:6" ht="27.6" hidden="1" x14ac:dyDescent="0.25">
      <c r="A272" s="226" t="s">
        <v>1028</v>
      </c>
      <c r="B272" s="303" t="s">
        <v>1193</v>
      </c>
      <c r="C272" s="906"/>
      <c r="D272" s="907" t="s">
        <v>78</v>
      </c>
      <c r="E272" s="908">
        <v>15800</v>
      </c>
      <c r="F272" s="907">
        <f>E272*C272</f>
        <v>0</v>
      </c>
    </row>
    <row r="273" spans="1:6" hidden="1" x14ac:dyDescent="0.25">
      <c r="A273" s="226"/>
      <c r="B273" s="326"/>
      <c r="C273" s="906"/>
      <c r="D273" s="907"/>
      <c r="E273" s="908"/>
      <c r="F273" s="907"/>
    </row>
    <row r="274" spans="1:6" ht="27.6" hidden="1" x14ac:dyDescent="0.25">
      <c r="A274" s="226" t="s">
        <v>1029</v>
      </c>
      <c r="B274" s="303" t="s">
        <v>1192</v>
      </c>
      <c r="C274" s="906"/>
      <c r="D274" s="907" t="s">
        <v>78</v>
      </c>
      <c r="E274" s="908">
        <v>15800</v>
      </c>
      <c r="F274" s="907">
        <f>E274*C274</f>
        <v>0</v>
      </c>
    </row>
    <row r="275" spans="1:6" x14ac:dyDescent="0.25">
      <c r="A275" s="226" t="s">
        <v>899</v>
      </c>
      <c r="B275" s="326" t="s">
        <v>915</v>
      </c>
      <c r="C275" s="906"/>
      <c r="D275" s="907"/>
      <c r="E275" s="908"/>
      <c r="F275" s="907"/>
    </row>
    <row r="276" spans="1:6" ht="50.4" customHeight="1" x14ac:dyDescent="0.25">
      <c r="A276" s="226"/>
      <c r="B276" s="806" t="s">
        <v>1299</v>
      </c>
      <c r="C276" s="906"/>
      <c r="D276" s="907"/>
      <c r="E276" s="908"/>
      <c r="F276" s="907"/>
    </row>
    <row r="277" spans="1:6" x14ac:dyDescent="0.25">
      <c r="A277" s="226"/>
      <c r="B277" s="326"/>
      <c r="C277" s="906"/>
      <c r="D277" s="907"/>
      <c r="E277" s="908"/>
      <c r="F277" s="907"/>
    </row>
    <row r="278" spans="1:6" x14ac:dyDescent="0.25">
      <c r="A278" s="226"/>
      <c r="B278" s="745" t="s">
        <v>175</v>
      </c>
      <c r="C278" s="906"/>
      <c r="D278" s="907"/>
      <c r="E278" s="908"/>
      <c r="F278" s="907"/>
    </row>
    <row r="279" spans="1:6" ht="47.4" customHeight="1" x14ac:dyDescent="0.25">
      <c r="A279" s="226"/>
      <c r="B279" s="326" t="s">
        <v>888</v>
      </c>
      <c r="C279" s="906"/>
      <c r="D279" s="907"/>
      <c r="E279" s="908"/>
      <c r="F279" s="907"/>
    </row>
    <row r="280" spans="1:6" x14ac:dyDescent="0.25">
      <c r="A280" s="226"/>
      <c r="B280" s="326"/>
      <c r="C280" s="906"/>
      <c r="D280" s="907"/>
      <c r="E280" s="908"/>
      <c r="F280" s="907"/>
    </row>
    <row r="281" spans="1:6" ht="27.6" x14ac:dyDescent="0.25">
      <c r="A281" s="226"/>
      <c r="B281" s="326" t="s">
        <v>1030</v>
      </c>
      <c r="C281" s="906"/>
      <c r="D281" s="907"/>
      <c r="E281" s="908"/>
      <c r="F281" s="907"/>
    </row>
    <row r="282" spans="1:6" x14ac:dyDescent="0.25">
      <c r="A282" s="226"/>
      <c r="B282" s="326"/>
      <c r="C282" s="906"/>
      <c r="D282" s="907"/>
      <c r="E282" s="908"/>
      <c r="F282" s="907"/>
    </row>
    <row r="283" spans="1:6" ht="46.2" customHeight="1" x14ac:dyDescent="0.25">
      <c r="A283" s="226"/>
      <c r="B283" s="905" t="s">
        <v>1191</v>
      </c>
      <c r="C283" s="906"/>
      <c r="D283" s="907"/>
      <c r="E283" s="908"/>
      <c r="F283" s="907"/>
    </row>
    <row r="284" spans="1:6" x14ac:dyDescent="0.25">
      <c r="A284" s="226"/>
      <c r="B284" s="905"/>
      <c r="C284" s="923"/>
      <c r="D284" s="924"/>
      <c r="E284" s="925"/>
      <c r="F284" s="924"/>
    </row>
    <row r="285" spans="1:6" x14ac:dyDescent="0.25">
      <c r="A285" s="226"/>
      <c r="B285" s="905"/>
      <c r="C285" s="923"/>
      <c r="D285" s="924"/>
      <c r="E285" s="925"/>
      <c r="F285" s="924"/>
    </row>
    <row r="286" spans="1:6" x14ac:dyDescent="0.25">
      <c r="A286" s="226"/>
      <c r="B286" s="905"/>
      <c r="C286" s="923"/>
      <c r="D286" s="924"/>
      <c r="E286" s="925"/>
      <c r="F286" s="924"/>
    </row>
    <row r="287" spans="1:6" x14ac:dyDescent="0.25">
      <c r="A287" s="226"/>
      <c r="B287" s="905"/>
      <c r="C287" s="923"/>
      <c r="D287" s="924"/>
      <c r="E287" s="925"/>
      <c r="F287" s="924"/>
    </row>
    <row r="288" spans="1:6" x14ac:dyDescent="0.25">
      <c r="A288" s="226"/>
      <c r="B288" s="905"/>
      <c r="C288" s="923"/>
      <c r="D288" s="924"/>
      <c r="E288" s="925"/>
      <c r="F288" s="924"/>
    </row>
    <row r="289" spans="1:12" x14ac:dyDescent="0.25">
      <c r="A289" s="226"/>
      <c r="B289" s="905"/>
      <c r="C289" s="923"/>
      <c r="D289" s="924"/>
      <c r="E289" s="925"/>
      <c r="F289" s="924"/>
    </row>
    <row r="290" spans="1:12" x14ac:dyDescent="0.25">
      <c r="A290" s="226"/>
      <c r="B290" s="326"/>
      <c r="C290" s="923"/>
      <c r="D290" s="924"/>
      <c r="E290" s="925"/>
      <c r="F290" s="924"/>
    </row>
    <row r="291" spans="1:12" x14ac:dyDescent="0.25">
      <c r="A291" s="226"/>
      <c r="B291" s="745" t="s">
        <v>715</v>
      </c>
      <c r="C291" s="923"/>
      <c r="D291" s="924"/>
      <c r="E291" s="925"/>
      <c r="F291" s="924"/>
      <c r="J291" s="24" t="s">
        <v>1194</v>
      </c>
    </row>
    <row r="292" spans="1:12" ht="73.2" customHeight="1" x14ac:dyDescent="0.25">
      <c r="A292" s="226" t="s">
        <v>901</v>
      </c>
      <c r="B292" s="303" t="s">
        <v>1375</v>
      </c>
      <c r="C292" s="906"/>
      <c r="D292" s="907" t="s">
        <v>78</v>
      </c>
      <c r="E292" s="908">
        <f>(7000+1250)*1.25</f>
        <v>10312.5</v>
      </c>
      <c r="F292" s="907">
        <f>E292*C292</f>
        <v>0</v>
      </c>
      <c r="J292" s="24" t="s">
        <v>1195</v>
      </c>
      <c r="K292" s="24" t="s">
        <v>1063</v>
      </c>
      <c r="L292" s="24" t="s">
        <v>1196</v>
      </c>
    </row>
    <row r="293" spans="1:12" hidden="1" x14ac:dyDescent="0.25">
      <c r="A293" s="226"/>
      <c r="B293" s="326"/>
      <c r="C293" s="906"/>
      <c r="D293" s="907"/>
      <c r="E293" s="908"/>
      <c r="F293" s="907"/>
      <c r="J293" s="24">
        <v>2</v>
      </c>
      <c r="K293" s="24">
        <v>2</v>
      </c>
      <c r="L293" s="24">
        <v>2</v>
      </c>
    </row>
    <row r="294" spans="1:12" ht="60.6" hidden="1" customHeight="1" x14ac:dyDescent="0.25">
      <c r="A294" s="226" t="s">
        <v>902</v>
      </c>
      <c r="B294" s="303" t="s">
        <v>1037</v>
      </c>
      <c r="C294" s="906"/>
      <c r="D294" s="907" t="s">
        <v>168</v>
      </c>
      <c r="E294" s="908">
        <v>3873</v>
      </c>
      <c r="F294" s="907">
        <f>E294*C294</f>
        <v>0</v>
      </c>
    </row>
    <row r="295" spans="1:12" x14ac:dyDescent="0.25">
      <c r="A295" s="226"/>
      <c r="B295" s="326"/>
      <c r="C295" s="906"/>
      <c r="D295" s="907"/>
      <c r="E295" s="908"/>
      <c r="F295" s="907"/>
    </row>
    <row r="296" spans="1:12" ht="75.599999999999994" customHeight="1" x14ac:dyDescent="0.25">
      <c r="A296" s="226" t="s">
        <v>1040</v>
      </c>
      <c r="B296" s="303" t="s">
        <v>1300</v>
      </c>
      <c r="C296" s="906"/>
      <c r="D296" s="907" t="s">
        <v>78</v>
      </c>
      <c r="E296" s="908">
        <v>3873</v>
      </c>
      <c r="F296" s="907">
        <f>E296*C296</f>
        <v>0</v>
      </c>
      <c r="J296" s="24">
        <f>55*4+60</f>
        <v>280</v>
      </c>
    </row>
    <row r="297" spans="1:12" x14ac:dyDescent="0.25">
      <c r="A297" s="226"/>
      <c r="B297" s="326"/>
      <c r="C297" s="906"/>
      <c r="D297" s="907"/>
      <c r="E297" s="908"/>
      <c r="F297" s="907"/>
    </row>
    <row r="298" spans="1:12" ht="61.8" customHeight="1" x14ac:dyDescent="0.25">
      <c r="A298" s="226" t="s">
        <v>1041</v>
      </c>
      <c r="B298" s="303" t="s">
        <v>1376</v>
      </c>
      <c r="C298" s="906"/>
      <c r="D298" s="907" t="s">
        <v>78</v>
      </c>
      <c r="E298" s="925">
        <f>(3500+1250)*1.25</f>
        <v>5937.5</v>
      </c>
      <c r="F298" s="907">
        <f>E298*C298</f>
        <v>0</v>
      </c>
    </row>
    <row r="299" spans="1:12" x14ac:dyDescent="0.25">
      <c r="A299" s="226"/>
      <c r="B299" s="326"/>
      <c r="C299" s="906"/>
      <c r="D299" s="907"/>
      <c r="E299" s="908"/>
      <c r="F299" s="907"/>
    </row>
    <row r="300" spans="1:12" ht="27.6" x14ac:dyDescent="0.25">
      <c r="A300" s="226" t="s">
        <v>1044</v>
      </c>
      <c r="B300" s="303" t="s">
        <v>1378</v>
      </c>
      <c r="C300" s="923"/>
      <c r="D300" s="924" t="s">
        <v>78</v>
      </c>
      <c r="E300" s="925">
        <f>(2000+1250)*1.25</f>
        <v>4062.5</v>
      </c>
      <c r="F300" s="924">
        <f>E300*C300</f>
        <v>0</v>
      </c>
    </row>
    <row r="301" spans="1:12" x14ac:dyDescent="0.25">
      <c r="A301" s="226"/>
      <c r="B301" s="303"/>
      <c r="C301" s="906"/>
      <c r="D301" s="907"/>
      <c r="E301" s="908"/>
      <c r="F301" s="907"/>
    </row>
    <row r="302" spans="1:12" ht="27.6" x14ac:dyDescent="0.25">
      <c r="A302" s="226" t="s">
        <v>1044</v>
      </c>
      <c r="B302" s="303" t="s">
        <v>1377</v>
      </c>
      <c r="C302" s="906"/>
      <c r="D302" s="907" t="s">
        <v>78</v>
      </c>
      <c r="E302" s="925">
        <f>(2000+1250)*1.25</f>
        <v>4062.5</v>
      </c>
      <c r="F302" s="907">
        <f>E302*C302</f>
        <v>0</v>
      </c>
    </row>
    <row r="303" spans="1:12" x14ac:dyDescent="0.25">
      <c r="A303" s="226"/>
      <c r="B303" s="303"/>
      <c r="C303" s="906"/>
      <c r="D303" s="907"/>
      <c r="E303" s="908"/>
      <c r="F303" s="907"/>
    </row>
    <row r="304" spans="1:12" x14ac:dyDescent="0.25">
      <c r="A304" s="226"/>
      <c r="B304" s="745" t="s">
        <v>1038</v>
      </c>
      <c r="C304" s="906"/>
      <c r="D304" s="907"/>
      <c r="E304" s="908"/>
      <c r="F304" s="907"/>
    </row>
    <row r="305" spans="1:8" ht="73.8" hidden="1" customHeight="1" x14ac:dyDescent="0.25">
      <c r="A305" s="226" t="s">
        <v>1044</v>
      </c>
      <c r="B305" s="303" t="s">
        <v>1036</v>
      </c>
      <c r="C305" s="906"/>
      <c r="D305" s="907" t="s">
        <v>78</v>
      </c>
      <c r="E305" s="908">
        <v>7545</v>
      </c>
      <c r="F305" s="907">
        <f>E305*C305</f>
        <v>0</v>
      </c>
    </row>
    <row r="306" spans="1:8" hidden="1" x14ac:dyDescent="0.25">
      <c r="A306" s="226"/>
      <c r="B306" s="326"/>
      <c r="C306" s="906"/>
      <c r="D306" s="907"/>
      <c r="E306" s="908"/>
      <c r="F306" s="907"/>
    </row>
    <row r="307" spans="1:8" ht="59.4" hidden="1" customHeight="1" x14ac:dyDescent="0.25">
      <c r="A307" s="226" t="s">
        <v>1045</v>
      </c>
      <c r="B307" s="303" t="s">
        <v>1037</v>
      </c>
      <c r="C307" s="906"/>
      <c r="D307" s="907" t="s">
        <v>168</v>
      </c>
      <c r="E307" s="908">
        <v>3873</v>
      </c>
      <c r="F307" s="907">
        <f>E307*C307</f>
        <v>0</v>
      </c>
    </row>
    <row r="308" spans="1:8" x14ac:dyDescent="0.25">
      <c r="A308" s="226"/>
      <c r="B308" s="303"/>
      <c r="C308" s="906"/>
      <c r="D308" s="907"/>
      <c r="E308" s="908"/>
      <c r="F308" s="907"/>
    </row>
    <row r="309" spans="1:8" ht="77.400000000000006" customHeight="1" x14ac:dyDescent="0.25">
      <c r="A309" s="226" t="s">
        <v>1046</v>
      </c>
      <c r="B309" s="303" t="s">
        <v>1300</v>
      </c>
      <c r="C309" s="906"/>
      <c r="D309" s="907" t="s">
        <v>78</v>
      </c>
      <c r="E309" s="908">
        <v>3873</v>
      </c>
      <c r="F309" s="907">
        <f>E309*C309</f>
        <v>0</v>
      </c>
    </row>
    <row r="310" spans="1:8" x14ac:dyDescent="0.25">
      <c r="A310" s="226"/>
      <c r="B310" s="303"/>
      <c r="C310" s="906"/>
      <c r="D310" s="907"/>
      <c r="E310" s="908"/>
      <c r="F310" s="907"/>
    </row>
    <row r="311" spans="1:8" ht="63" customHeight="1" x14ac:dyDescent="0.25">
      <c r="A311" s="226" t="s">
        <v>1047</v>
      </c>
      <c r="B311" s="303" t="s">
        <v>1376</v>
      </c>
      <c r="C311" s="923"/>
      <c r="D311" s="924" t="s">
        <v>78</v>
      </c>
      <c r="E311" s="925">
        <f>(3500+1250)*1.25</f>
        <v>5937.5</v>
      </c>
      <c r="F311" s="924">
        <f>E311*C311</f>
        <v>0</v>
      </c>
      <c r="H311" s="24">
        <f>31*4+170</f>
        <v>294</v>
      </c>
    </row>
    <row r="312" spans="1:8" ht="63" hidden="1" customHeight="1" x14ac:dyDescent="0.25">
      <c r="A312" s="226" t="s">
        <v>1048</v>
      </c>
      <c r="B312" s="303" t="s">
        <v>1042</v>
      </c>
      <c r="C312" s="906"/>
      <c r="D312" s="907" t="s">
        <v>78</v>
      </c>
      <c r="E312" s="908">
        <v>2591</v>
      </c>
      <c r="F312" s="907">
        <f>E312*C312</f>
        <v>0</v>
      </c>
    </row>
    <row r="313" spans="1:8" hidden="1" x14ac:dyDescent="0.25">
      <c r="A313" s="226"/>
      <c r="B313" s="326"/>
      <c r="C313" s="906"/>
      <c r="D313" s="907"/>
      <c r="E313" s="908"/>
      <c r="F313" s="907"/>
    </row>
    <row r="314" spans="1:8" ht="64.2" hidden="1" customHeight="1" x14ac:dyDescent="0.25">
      <c r="A314" s="226" t="s">
        <v>1049</v>
      </c>
      <c r="B314" s="303" t="s">
        <v>1043</v>
      </c>
      <c r="C314" s="906"/>
      <c r="D314" s="907" t="s">
        <v>78</v>
      </c>
      <c r="E314" s="908">
        <v>1520</v>
      </c>
      <c r="F314" s="907">
        <f>E314*C314</f>
        <v>0</v>
      </c>
    </row>
    <row r="315" spans="1:8" x14ac:dyDescent="0.25">
      <c r="A315" s="226"/>
      <c r="B315" s="303"/>
      <c r="C315" s="906"/>
      <c r="D315" s="907"/>
      <c r="E315" s="908"/>
      <c r="F315" s="907"/>
    </row>
    <row r="316" spans="1:8" ht="27.6" x14ac:dyDescent="0.25">
      <c r="A316" s="226" t="s">
        <v>1050</v>
      </c>
      <c r="B316" s="303" t="s">
        <v>1377</v>
      </c>
      <c r="C316" s="923"/>
      <c r="D316" s="924" t="s">
        <v>78</v>
      </c>
      <c r="E316" s="925">
        <f>(2000+1250)*1.25</f>
        <v>4062.5</v>
      </c>
      <c r="F316" s="924">
        <f>E316*C316</f>
        <v>0</v>
      </c>
    </row>
    <row r="317" spans="1:8" x14ac:dyDescent="0.25">
      <c r="A317" s="226"/>
      <c r="B317" s="326"/>
      <c r="C317" s="923"/>
      <c r="D317" s="924"/>
      <c r="E317" s="925"/>
      <c r="F317" s="924"/>
    </row>
    <row r="318" spans="1:8" hidden="1" x14ac:dyDescent="0.25">
      <c r="A318" s="226"/>
      <c r="B318" s="745" t="s">
        <v>712</v>
      </c>
      <c r="C318" s="923"/>
      <c r="D318" s="924"/>
      <c r="E318" s="925"/>
      <c r="F318" s="924"/>
    </row>
    <row r="319" spans="1:8" ht="61.8" hidden="1" customHeight="1" x14ac:dyDescent="0.25">
      <c r="A319" s="226" t="s">
        <v>1050</v>
      </c>
      <c r="B319" s="303" t="s">
        <v>1301</v>
      </c>
      <c r="C319" s="923"/>
      <c r="D319" s="924" t="s">
        <v>168</v>
      </c>
      <c r="E319" s="925">
        <v>3873</v>
      </c>
      <c r="F319" s="924">
        <f>E319*C319</f>
        <v>0</v>
      </c>
      <c r="G319" s="24">
        <f>8*14</f>
        <v>112</v>
      </c>
    </row>
    <row r="320" spans="1:8" hidden="1" x14ac:dyDescent="0.25">
      <c r="A320" s="226"/>
      <c r="B320" s="303"/>
      <c r="C320" s="923"/>
      <c r="D320" s="924"/>
      <c r="E320" s="925"/>
      <c r="F320" s="924"/>
    </row>
    <row r="321" spans="1:8" ht="63.6" hidden="1" customHeight="1" x14ac:dyDescent="0.25">
      <c r="A321" s="226" t="s">
        <v>1054</v>
      </c>
      <c r="B321" s="303" t="s">
        <v>1345</v>
      </c>
      <c r="C321" s="923"/>
      <c r="D321" s="924" t="s">
        <v>1002</v>
      </c>
      <c r="E321" s="925">
        <f>E311</f>
        <v>5937.5</v>
      </c>
      <c r="F321" s="924">
        <f>E321*C321</f>
        <v>0</v>
      </c>
    </row>
    <row r="322" spans="1:8" hidden="1" x14ac:dyDescent="0.25">
      <c r="A322" s="226"/>
      <c r="B322" s="303"/>
      <c r="C322" s="923"/>
      <c r="D322" s="924"/>
      <c r="E322" s="925"/>
      <c r="F322" s="924"/>
    </row>
    <row r="323" spans="1:8" ht="41.4" hidden="1" x14ac:dyDescent="0.25">
      <c r="A323" s="226" t="s">
        <v>1054</v>
      </c>
      <c r="B323" s="303" t="s">
        <v>1302</v>
      </c>
      <c r="C323" s="923"/>
      <c r="D323" s="924" t="s">
        <v>1002</v>
      </c>
      <c r="E323" s="925">
        <f>E321+700</f>
        <v>6637.5</v>
      </c>
      <c r="F323" s="924">
        <f>E323*C323</f>
        <v>0</v>
      </c>
    </row>
    <row r="324" spans="1:8" ht="60" hidden="1" customHeight="1" x14ac:dyDescent="0.25">
      <c r="A324" s="226" t="s">
        <v>1055</v>
      </c>
      <c r="B324" s="303" t="s">
        <v>1097</v>
      </c>
      <c r="C324" s="923"/>
      <c r="D324" s="924" t="s">
        <v>168</v>
      </c>
      <c r="E324" s="925">
        <v>2213</v>
      </c>
      <c r="F324" s="924">
        <f>E324*C324</f>
        <v>0</v>
      </c>
    </row>
    <row r="325" spans="1:8" hidden="1" x14ac:dyDescent="0.25">
      <c r="A325" s="226"/>
      <c r="B325" s="303"/>
      <c r="C325" s="923"/>
      <c r="D325" s="924"/>
      <c r="E325" s="925"/>
      <c r="F325" s="924"/>
    </row>
    <row r="326" spans="1:8" ht="59.4" hidden="1" customHeight="1" x14ac:dyDescent="0.25">
      <c r="A326" s="226" t="s">
        <v>1056</v>
      </c>
      <c r="B326" s="303" t="s">
        <v>1099</v>
      </c>
      <c r="C326" s="923"/>
      <c r="D326" s="924" t="s">
        <v>1098</v>
      </c>
      <c r="E326" s="925">
        <v>1299</v>
      </c>
      <c r="F326" s="924">
        <f>E326*C326</f>
        <v>0</v>
      </c>
    </row>
    <row r="327" spans="1:8" hidden="1" x14ac:dyDescent="0.25">
      <c r="A327" s="226"/>
      <c r="B327" s="303"/>
      <c r="C327" s="923"/>
      <c r="D327" s="924"/>
      <c r="E327" s="925"/>
      <c r="F327" s="924"/>
    </row>
    <row r="328" spans="1:8" ht="27.6" hidden="1" x14ac:dyDescent="0.25">
      <c r="A328" s="226" t="s">
        <v>1198</v>
      </c>
      <c r="B328" s="303" t="s">
        <v>1197</v>
      </c>
      <c r="C328" s="923"/>
      <c r="D328" s="924" t="s">
        <v>78</v>
      </c>
      <c r="E328" s="925">
        <v>1520</v>
      </c>
      <c r="F328" s="924">
        <f>E328*C328</f>
        <v>0</v>
      </c>
    </row>
    <row r="329" spans="1:8" x14ac:dyDescent="0.25">
      <c r="A329" s="335" t="s">
        <v>1051</v>
      </c>
      <c r="B329" s="326" t="s">
        <v>106</v>
      </c>
      <c r="C329" s="923"/>
      <c r="D329" s="924"/>
      <c r="E329" s="925"/>
      <c r="F329" s="924"/>
    </row>
    <row r="330" spans="1:8" ht="41.4" x14ac:dyDescent="0.25">
      <c r="A330" s="335"/>
      <c r="B330" s="326" t="s">
        <v>1332</v>
      </c>
      <c r="C330" s="906"/>
      <c r="D330" s="907"/>
      <c r="E330" s="908"/>
      <c r="F330" s="907"/>
    </row>
    <row r="331" spans="1:8" x14ac:dyDescent="0.25">
      <c r="A331" s="335"/>
      <c r="B331" s="326"/>
      <c r="C331" s="906"/>
      <c r="D331" s="907"/>
      <c r="E331" s="908"/>
      <c r="F331" s="907"/>
    </row>
    <row r="332" spans="1:8" ht="135.6" customHeight="1" x14ac:dyDescent="0.25">
      <c r="A332" s="672" t="s">
        <v>1052</v>
      </c>
      <c r="B332" s="303" t="s">
        <v>1129</v>
      </c>
      <c r="C332" s="906"/>
      <c r="D332" s="907" t="s">
        <v>900</v>
      </c>
      <c r="E332" s="908">
        <v>165500</v>
      </c>
      <c r="F332" s="907">
        <f>E332*C332</f>
        <v>0</v>
      </c>
    </row>
    <row r="333" spans="1:8" x14ac:dyDescent="0.25">
      <c r="A333" s="335"/>
      <c r="B333" s="326"/>
      <c r="C333" s="906"/>
      <c r="D333" s="907"/>
      <c r="E333" s="908"/>
      <c r="F333" s="907"/>
    </row>
    <row r="334" spans="1:8" ht="51" customHeight="1" x14ac:dyDescent="0.25">
      <c r="A334" s="672" t="s">
        <v>1053</v>
      </c>
      <c r="B334" s="303" t="s">
        <v>1128</v>
      </c>
      <c r="C334" s="906"/>
      <c r="D334" s="907" t="s">
        <v>900</v>
      </c>
      <c r="E334" s="908">
        <v>12500</v>
      </c>
      <c r="F334" s="907">
        <f>E334*C334</f>
        <v>0</v>
      </c>
    </row>
    <row r="335" spans="1:8" x14ac:dyDescent="0.25">
      <c r="A335" s="226"/>
      <c r="B335" s="326"/>
      <c r="C335" s="906"/>
      <c r="D335" s="907"/>
      <c r="E335" s="908"/>
      <c r="F335" s="907"/>
    </row>
    <row r="336" spans="1:8" ht="69" x14ac:dyDescent="0.25">
      <c r="A336" s="672" t="s">
        <v>1329</v>
      </c>
      <c r="B336" s="903" t="s">
        <v>859</v>
      </c>
      <c r="C336" s="830"/>
      <c r="D336" s="831" t="s">
        <v>56</v>
      </c>
      <c r="E336" s="832">
        <f>760*3.28</f>
        <v>2492.7999999999997</v>
      </c>
      <c r="F336" s="831">
        <f>E336*C336</f>
        <v>0</v>
      </c>
      <c r="H336" s="24">
        <f>SUM(F334:F336)</f>
        <v>0</v>
      </c>
    </row>
    <row r="337" spans="1:6" ht="27.6" x14ac:dyDescent="0.25">
      <c r="A337" s="672" t="s">
        <v>1334</v>
      </c>
      <c r="B337" s="903" t="s">
        <v>1333</v>
      </c>
      <c r="C337" s="830"/>
      <c r="D337" s="831" t="s">
        <v>56</v>
      </c>
      <c r="E337" s="832">
        <v>2000</v>
      </c>
      <c r="F337" s="831">
        <f>E337*C337</f>
        <v>0</v>
      </c>
    </row>
    <row r="338" spans="1:6" x14ac:dyDescent="0.25">
      <c r="A338" s="672"/>
      <c r="B338" s="903"/>
      <c r="C338" s="830"/>
      <c r="D338" s="831"/>
      <c r="E338" s="832"/>
      <c r="F338" s="831"/>
    </row>
    <row r="339" spans="1:6" s="12" customFormat="1" ht="27.6" x14ac:dyDescent="0.25">
      <c r="A339" s="760"/>
      <c r="B339" s="285" t="s">
        <v>742</v>
      </c>
      <c r="C339" s="628"/>
      <c r="D339" s="630"/>
      <c r="E339" s="631"/>
      <c r="F339" s="813">
        <f>SUM(F2:F338)</f>
        <v>1345750</v>
      </c>
    </row>
  </sheetData>
  <mergeCells count="8">
    <mergeCell ref="C139:C140"/>
    <mergeCell ref="D139:D140"/>
    <mergeCell ref="E139:E140"/>
    <mergeCell ref="F139:F140"/>
    <mergeCell ref="C132:C134"/>
    <mergeCell ref="D132:D134"/>
    <mergeCell ref="E132:E134"/>
    <mergeCell ref="F132:F134"/>
  </mergeCells>
  <pageMargins left="0.5" right="0.5" top="0.25" bottom="0.25" header="0.5" footer="0.5"/>
  <pageSetup orientation="portrait" r:id="rId1"/>
  <headerFooter alignWithMargins="0">
    <oddFooter>&amp;C&amp;P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R627"/>
  <sheetViews>
    <sheetView topLeftCell="A325" zoomScale="85" zoomScaleNormal="85" workbookViewId="0">
      <selection activeCell="F581" sqref="F581"/>
    </sheetView>
  </sheetViews>
  <sheetFormatPr defaultColWidth="9.21875" defaultRowHeight="13.8" x14ac:dyDescent="0.25"/>
  <cols>
    <col min="1" max="1" width="8.21875" style="38" customWidth="1"/>
    <col min="2" max="2" width="64.21875" style="36" customWidth="1"/>
    <col min="3" max="3" width="10.77734375" style="39" customWidth="1"/>
    <col min="4" max="4" width="9" style="38" customWidth="1"/>
    <col min="5" max="5" width="12.77734375" style="202" bestFit="1" customWidth="1"/>
    <col min="6" max="6" width="15.77734375" style="39" bestFit="1" customWidth="1"/>
    <col min="7" max="7" width="9.21875" style="24"/>
    <col min="8" max="8" width="12.44140625" style="24" bestFit="1" customWidth="1"/>
    <col min="9" max="9" width="10" style="24" bestFit="1" customWidth="1"/>
    <col min="10" max="10" width="11" style="24" bestFit="1" customWidth="1"/>
    <col min="11" max="12" width="12.88671875" style="24" bestFit="1" customWidth="1"/>
    <col min="13" max="13" width="10.33203125" style="24" bestFit="1" customWidth="1"/>
    <col min="14" max="16384" width="9.21875" style="24"/>
  </cols>
  <sheetData>
    <row r="1" spans="1:13" s="31" customFormat="1" x14ac:dyDescent="0.25">
      <c r="A1" s="2756" t="s">
        <v>126</v>
      </c>
      <c r="B1" s="2757"/>
      <c r="C1" s="2757"/>
      <c r="D1" s="2757"/>
      <c r="E1" s="2757"/>
      <c r="F1" s="2758"/>
    </row>
    <row r="2" spans="1:13" s="31" customFormat="1" ht="14.4" thickBot="1" x14ac:dyDescent="0.3">
      <c r="A2" s="2759"/>
      <c r="B2" s="2760"/>
      <c r="C2" s="2760"/>
      <c r="D2" s="2760"/>
      <c r="E2" s="2760"/>
      <c r="F2" s="2761"/>
    </row>
    <row r="3" spans="1:13" s="31" customFormat="1" ht="14.4" thickBot="1" x14ac:dyDescent="0.3">
      <c r="A3" s="45" t="s">
        <v>0</v>
      </c>
      <c r="B3" s="46" t="s">
        <v>1</v>
      </c>
      <c r="C3" s="47" t="s">
        <v>2</v>
      </c>
      <c r="D3" s="48" t="s">
        <v>3</v>
      </c>
      <c r="E3" s="188" t="s">
        <v>4</v>
      </c>
      <c r="F3" s="49" t="s">
        <v>5</v>
      </c>
    </row>
    <row r="4" spans="1:13" s="31" customFormat="1" x14ac:dyDescent="0.25">
      <c r="A4" s="50"/>
      <c r="B4" s="51" t="s">
        <v>6</v>
      </c>
      <c r="C4" s="52"/>
      <c r="D4" s="53"/>
      <c r="E4" s="189"/>
      <c r="F4" s="54"/>
    </row>
    <row r="5" spans="1:13" s="31" customFormat="1" x14ac:dyDescent="0.25">
      <c r="A5" s="55" t="s">
        <v>7</v>
      </c>
      <c r="B5" s="51" t="s">
        <v>8</v>
      </c>
      <c r="C5" s="52"/>
      <c r="D5" s="56"/>
      <c r="E5" s="190"/>
      <c r="F5" s="54"/>
    </row>
    <row r="6" spans="1:13" s="31" customFormat="1" x14ac:dyDescent="0.25">
      <c r="A6" s="50"/>
      <c r="B6" s="57"/>
      <c r="C6" s="52"/>
      <c r="D6" s="56"/>
      <c r="E6" s="190"/>
      <c r="F6" s="54"/>
    </row>
    <row r="7" spans="1:13" s="31" customFormat="1" x14ac:dyDescent="0.25">
      <c r="A7" s="58"/>
      <c r="B7" s="51" t="s">
        <v>9</v>
      </c>
      <c r="C7" s="59"/>
      <c r="D7" s="60"/>
      <c r="E7" s="191"/>
      <c r="F7" s="62"/>
      <c r="K7" s="31">
        <v>60000000</v>
      </c>
    </row>
    <row r="8" spans="1:13" s="31" customFormat="1" ht="55.2" x14ac:dyDescent="0.25">
      <c r="A8" s="58"/>
      <c r="B8" s="63" t="s">
        <v>10</v>
      </c>
      <c r="C8" s="59"/>
      <c r="D8" s="60"/>
      <c r="E8" s="191"/>
      <c r="F8" s="62"/>
      <c r="K8" s="31">
        <f>K7*1.44%</f>
        <v>864000</v>
      </c>
    </row>
    <row r="9" spans="1:13" s="31" customFormat="1" x14ac:dyDescent="0.25">
      <c r="A9" s="58"/>
      <c r="B9" s="63"/>
      <c r="C9" s="59"/>
      <c r="D9" s="60"/>
      <c r="E9" s="191"/>
      <c r="F9" s="62"/>
      <c r="L9" s="31">
        <f>K8*0.23</f>
        <v>198720</v>
      </c>
    </row>
    <row r="10" spans="1:13" s="31" customFormat="1" x14ac:dyDescent="0.25">
      <c r="A10" s="58" t="s">
        <v>11</v>
      </c>
      <c r="B10" s="63" t="s">
        <v>12</v>
      </c>
      <c r="C10" s="64">
        <v>1</v>
      </c>
      <c r="D10" s="65" t="s">
        <v>13</v>
      </c>
      <c r="E10" s="191">
        <v>685000</v>
      </c>
      <c r="F10" s="62">
        <f>C10*E10</f>
        <v>685000</v>
      </c>
      <c r="L10" s="31">
        <f>K8*0.18</f>
        <v>155520</v>
      </c>
    </row>
    <row r="11" spans="1:13" s="31" customFormat="1" x14ac:dyDescent="0.25">
      <c r="A11" s="58"/>
      <c r="B11" s="63"/>
      <c r="C11" s="59"/>
      <c r="D11" s="60"/>
      <c r="E11" s="191"/>
      <c r="F11" s="62"/>
      <c r="L11" s="31">
        <f>K8*0.22</f>
        <v>190080</v>
      </c>
      <c r="M11" s="31">
        <f>L11+L10</f>
        <v>345600</v>
      </c>
    </row>
    <row r="12" spans="1:13" s="31" customFormat="1" x14ac:dyDescent="0.25">
      <c r="A12" s="58" t="s">
        <v>14</v>
      </c>
      <c r="B12" s="63" t="s">
        <v>15</v>
      </c>
      <c r="C12" s="64">
        <v>1</v>
      </c>
      <c r="D12" s="65" t="s">
        <v>13</v>
      </c>
      <c r="E12" s="191">
        <v>20000</v>
      </c>
      <c r="F12" s="62">
        <f>C12*E12</f>
        <v>20000</v>
      </c>
    </row>
    <row r="13" spans="1:13" s="31" customFormat="1" x14ac:dyDescent="0.25">
      <c r="A13" s="58"/>
      <c r="B13" s="63"/>
      <c r="C13" s="59"/>
      <c r="D13" s="60"/>
      <c r="E13" s="191"/>
      <c r="F13" s="62"/>
      <c r="M13" s="31">
        <f>K8*0.1</f>
        <v>86400</v>
      </c>
    </row>
    <row r="14" spans="1:13" s="31" customFormat="1" ht="41.4" x14ac:dyDescent="0.25">
      <c r="A14" s="58" t="s">
        <v>16</v>
      </c>
      <c r="B14" s="63" t="s">
        <v>17</v>
      </c>
      <c r="C14" s="64">
        <v>1</v>
      </c>
      <c r="D14" s="65" t="s">
        <v>13</v>
      </c>
      <c r="E14" s="191">
        <v>810000</v>
      </c>
      <c r="F14" s="62">
        <f>C14*E14</f>
        <v>810000</v>
      </c>
      <c r="M14" s="31">
        <f>K8*0.12</f>
        <v>103680</v>
      </c>
    </row>
    <row r="15" spans="1:13" s="31" customFormat="1" x14ac:dyDescent="0.25">
      <c r="A15" s="58"/>
      <c r="B15" s="63"/>
      <c r="C15" s="59"/>
      <c r="D15" s="60"/>
      <c r="E15" s="191"/>
      <c r="F15" s="62"/>
    </row>
    <row r="16" spans="1:13" s="31" customFormat="1" ht="41.4" x14ac:dyDescent="0.25">
      <c r="A16" s="58" t="s">
        <v>18</v>
      </c>
      <c r="B16" s="63" t="s">
        <v>19</v>
      </c>
      <c r="C16" s="64">
        <v>1</v>
      </c>
      <c r="D16" s="65" t="s">
        <v>13</v>
      </c>
      <c r="E16" s="191">
        <v>30000</v>
      </c>
      <c r="F16" s="62">
        <f>C16*E16</f>
        <v>30000</v>
      </c>
    </row>
    <row r="17" spans="1:6" s="31" customFormat="1" x14ac:dyDescent="0.25">
      <c r="A17" s="58"/>
      <c r="B17" s="63"/>
      <c r="C17" s="59"/>
      <c r="D17" s="60"/>
      <c r="E17" s="191"/>
      <c r="F17" s="62"/>
    </row>
    <row r="18" spans="1:6" s="31" customFormat="1" ht="27.6" x14ac:dyDescent="0.25">
      <c r="A18" s="58" t="s">
        <v>20</v>
      </c>
      <c r="B18" s="63" t="s">
        <v>397</v>
      </c>
      <c r="C18" s="64">
        <v>1</v>
      </c>
      <c r="D18" s="65" t="s">
        <v>13</v>
      </c>
      <c r="E18" s="191">
        <v>160000</v>
      </c>
      <c r="F18" s="62">
        <f>C18*E18</f>
        <v>160000</v>
      </c>
    </row>
    <row r="19" spans="1:6" s="31" customFormat="1" x14ac:dyDescent="0.25">
      <c r="A19" s="58"/>
      <c r="B19" s="63"/>
      <c r="C19" s="64"/>
      <c r="D19" s="65"/>
      <c r="E19" s="192"/>
      <c r="F19" s="66"/>
    </row>
    <row r="20" spans="1:6" s="31" customFormat="1" ht="27.6" x14ac:dyDescent="0.25">
      <c r="A20" s="58" t="s">
        <v>21</v>
      </c>
      <c r="B20" s="63" t="s">
        <v>22</v>
      </c>
      <c r="C20" s="64">
        <v>1</v>
      </c>
      <c r="D20" s="65" t="s">
        <v>13</v>
      </c>
      <c r="E20" s="191">
        <v>100000</v>
      </c>
      <c r="F20" s="62">
        <f>C20*E20</f>
        <v>100000</v>
      </c>
    </row>
    <row r="21" spans="1:6" s="31" customFormat="1" x14ac:dyDescent="0.25">
      <c r="A21" s="58"/>
      <c r="B21" s="63"/>
      <c r="C21" s="64"/>
      <c r="D21" s="65"/>
      <c r="E21" s="191"/>
      <c r="F21" s="62"/>
    </row>
    <row r="22" spans="1:6" s="31" customFormat="1" x14ac:dyDescent="0.25">
      <c r="A22" s="58" t="s">
        <v>23</v>
      </c>
      <c r="B22" s="63" t="s">
        <v>398</v>
      </c>
      <c r="C22" s="64">
        <v>1</v>
      </c>
      <c r="D22" s="65" t="s">
        <v>13</v>
      </c>
      <c r="E22" s="191">
        <v>15000</v>
      </c>
      <c r="F22" s="62">
        <f>C22*E22</f>
        <v>15000</v>
      </c>
    </row>
    <row r="23" spans="1:6" s="31" customFormat="1" x14ac:dyDescent="0.25">
      <c r="A23" s="58"/>
      <c r="B23" s="63"/>
      <c r="C23" s="64"/>
      <c r="D23" s="65"/>
      <c r="E23" s="191"/>
      <c r="F23" s="62"/>
    </row>
    <row r="24" spans="1:6" s="31" customFormat="1" ht="41.4" x14ac:dyDescent="0.25">
      <c r="A24" s="58" t="s">
        <v>24</v>
      </c>
      <c r="B24" s="67" t="s">
        <v>25</v>
      </c>
      <c r="C24" s="59"/>
      <c r="D24" s="65" t="s">
        <v>13</v>
      </c>
      <c r="E24" s="191"/>
      <c r="F24" s="68" t="s">
        <v>26</v>
      </c>
    </row>
    <row r="25" spans="1:6" s="31" customFormat="1" x14ac:dyDescent="0.25">
      <c r="A25" s="58"/>
      <c r="B25" s="67"/>
      <c r="C25" s="59"/>
      <c r="D25" s="60"/>
      <c r="E25" s="191"/>
      <c r="F25" s="68"/>
    </row>
    <row r="26" spans="1:6" s="31" customFormat="1" ht="41.4" x14ac:dyDescent="0.25">
      <c r="A26" s="58" t="s">
        <v>27</v>
      </c>
      <c r="B26" s="67" t="s">
        <v>28</v>
      </c>
      <c r="C26" s="59"/>
      <c r="D26" s="65" t="s">
        <v>13</v>
      </c>
      <c r="E26" s="191"/>
      <c r="F26" s="68" t="s">
        <v>26</v>
      </c>
    </row>
    <row r="27" spans="1:6" s="31" customFormat="1" x14ac:dyDescent="0.25">
      <c r="A27" s="58"/>
      <c r="B27" s="63"/>
      <c r="C27" s="64"/>
      <c r="D27" s="65"/>
      <c r="E27" s="191"/>
      <c r="F27" s="62"/>
    </row>
    <row r="28" spans="1:6" s="31" customFormat="1" ht="27.6" x14ac:dyDescent="0.25">
      <c r="A28" s="58" t="s">
        <v>29</v>
      </c>
      <c r="B28" s="63" t="s">
        <v>399</v>
      </c>
      <c r="C28" s="64">
        <v>1</v>
      </c>
      <c r="D28" s="65" t="s">
        <v>13</v>
      </c>
      <c r="E28" s="191">
        <v>50000</v>
      </c>
      <c r="F28" s="62">
        <f>C28*E28</f>
        <v>50000</v>
      </c>
    </row>
    <row r="29" spans="1:6" s="31" customFormat="1" x14ac:dyDescent="0.25">
      <c r="A29" s="58"/>
      <c r="B29" s="69"/>
      <c r="C29" s="64"/>
      <c r="D29" s="65"/>
      <c r="E29" s="191"/>
      <c r="F29" s="62"/>
    </row>
    <row r="30" spans="1:6" s="31" customFormat="1" x14ac:dyDescent="0.25">
      <c r="A30" s="58" t="s">
        <v>30</v>
      </c>
      <c r="B30" s="63" t="s">
        <v>400</v>
      </c>
      <c r="C30" s="64">
        <v>1</v>
      </c>
      <c r="D30" s="65" t="s">
        <v>13</v>
      </c>
      <c r="E30" s="191">
        <v>60000</v>
      </c>
      <c r="F30" s="62">
        <f>C30*E30</f>
        <v>60000</v>
      </c>
    </row>
    <row r="31" spans="1:6" s="31" customFormat="1" x14ac:dyDescent="0.25">
      <c r="A31" s="58"/>
      <c r="B31" s="69"/>
      <c r="C31" s="64"/>
      <c r="D31" s="65"/>
      <c r="E31" s="191"/>
      <c r="F31" s="62"/>
    </row>
    <row r="32" spans="1:6" s="31" customFormat="1" ht="41.4" x14ac:dyDescent="0.25">
      <c r="A32" s="58" t="s">
        <v>31</v>
      </c>
      <c r="B32" s="63" t="s">
        <v>401</v>
      </c>
      <c r="C32" s="64">
        <v>1</v>
      </c>
      <c r="D32" s="65" t="s">
        <v>13</v>
      </c>
      <c r="E32" s="191">
        <v>150000</v>
      </c>
      <c r="F32" s="62">
        <f t="shared" ref="F32:F48" si="0">C32*E32</f>
        <v>150000</v>
      </c>
    </row>
    <row r="33" spans="1:6" s="31" customFormat="1" ht="14.4" thickBot="1" x14ac:dyDescent="0.3">
      <c r="A33" s="70"/>
      <c r="B33" s="71"/>
      <c r="C33" s="72"/>
      <c r="D33" s="73"/>
      <c r="E33" s="193"/>
      <c r="F33" s="74"/>
    </row>
    <row r="34" spans="1:6" s="31" customFormat="1" x14ac:dyDescent="0.25">
      <c r="A34" s="75" t="s">
        <v>32</v>
      </c>
      <c r="B34" s="76" t="s">
        <v>402</v>
      </c>
      <c r="C34" s="77">
        <v>1</v>
      </c>
      <c r="D34" s="78" t="s">
        <v>13</v>
      </c>
      <c r="E34" s="194">
        <v>50000</v>
      </c>
      <c r="F34" s="79">
        <f t="shared" si="0"/>
        <v>50000</v>
      </c>
    </row>
    <row r="35" spans="1:6" s="31" customFormat="1" x14ac:dyDescent="0.25">
      <c r="A35" s="58"/>
      <c r="B35" s="63"/>
      <c r="C35" s="64"/>
      <c r="D35" s="65"/>
      <c r="E35" s="191"/>
      <c r="F35" s="62"/>
    </row>
    <row r="36" spans="1:6" s="31" customFormat="1" ht="27.6" x14ac:dyDescent="0.25">
      <c r="A36" s="58" t="s">
        <v>33</v>
      </c>
      <c r="B36" s="63" t="s">
        <v>403</v>
      </c>
      <c r="C36" s="64">
        <v>1</v>
      </c>
      <c r="D36" s="65" t="s">
        <v>13</v>
      </c>
      <c r="E36" s="191">
        <v>300000</v>
      </c>
      <c r="F36" s="62">
        <f t="shared" si="0"/>
        <v>300000</v>
      </c>
    </row>
    <row r="37" spans="1:6" s="31" customFormat="1" x14ac:dyDescent="0.25">
      <c r="A37" s="58"/>
      <c r="B37" s="63"/>
      <c r="C37" s="64"/>
      <c r="D37" s="65"/>
      <c r="E37" s="191"/>
      <c r="F37" s="62"/>
    </row>
    <row r="38" spans="1:6" s="31" customFormat="1" ht="27.6" x14ac:dyDescent="0.25">
      <c r="A38" s="58" t="s">
        <v>34</v>
      </c>
      <c r="B38" s="63" t="s">
        <v>404</v>
      </c>
      <c r="C38" s="64">
        <v>1</v>
      </c>
      <c r="D38" s="65" t="s">
        <v>13</v>
      </c>
      <c r="E38" s="191">
        <v>200000</v>
      </c>
      <c r="F38" s="62">
        <f t="shared" si="0"/>
        <v>200000</v>
      </c>
    </row>
    <row r="39" spans="1:6" s="31" customFormat="1" x14ac:dyDescent="0.25">
      <c r="A39" s="58"/>
      <c r="B39" s="63"/>
      <c r="C39" s="64"/>
      <c r="D39" s="65"/>
      <c r="E39" s="191"/>
      <c r="F39" s="62"/>
    </row>
    <row r="40" spans="1:6" s="31" customFormat="1" ht="27.6" x14ac:dyDescent="0.25">
      <c r="A40" s="58" t="s">
        <v>35</v>
      </c>
      <c r="B40" s="63" t="s">
        <v>36</v>
      </c>
      <c r="C40" s="64">
        <v>1</v>
      </c>
      <c r="D40" s="65" t="s">
        <v>13</v>
      </c>
      <c r="E40" s="191">
        <v>100000</v>
      </c>
      <c r="F40" s="62">
        <f t="shared" si="0"/>
        <v>100000</v>
      </c>
    </row>
    <row r="41" spans="1:6" s="31" customFormat="1" x14ac:dyDescent="0.25">
      <c r="A41" s="58"/>
      <c r="B41" s="63"/>
      <c r="C41" s="64"/>
      <c r="D41" s="65"/>
      <c r="E41" s="191"/>
      <c r="F41" s="62"/>
    </row>
    <row r="42" spans="1:6" s="31" customFormat="1" ht="41.4" x14ac:dyDescent="0.25">
      <c r="A42" s="58" t="s">
        <v>37</v>
      </c>
      <c r="B42" s="63" t="s">
        <v>38</v>
      </c>
      <c r="C42" s="64">
        <v>1</v>
      </c>
      <c r="D42" s="65" t="s">
        <v>13</v>
      </c>
      <c r="E42" s="191">
        <v>75000</v>
      </c>
      <c r="F42" s="62">
        <f t="shared" si="0"/>
        <v>75000</v>
      </c>
    </row>
    <row r="43" spans="1:6" s="31" customFormat="1" x14ac:dyDescent="0.25">
      <c r="A43" s="58"/>
      <c r="B43" s="63"/>
      <c r="C43" s="64"/>
      <c r="D43" s="65"/>
      <c r="E43" s="191"/>
      <c r="F43" s="62"/>
    </row>
    <row r="44" spans="1:6" s="31" customFormat="1" x14ac:dyDescent="0.25">
      <c r="A44" s="58" t="s">
        <v>39</v>
      </c>
      <c r="B44" s="63" t="s">
        <v>40</v>
      </c>
      <c r="C44" s="64">
        <v>1</v>
      </c>
      <c r="D44" s="65" t="s">
        <v>13</v>
      </c>
      <c r="E44" s="191">
        <v>30000</v>
      </c>
      <c r="F44" s="62">
        <f t="shared" si="0"/>
        <v>30000</v>
      </c>
    </row>
    <row r="45" spans="1:6" s="31" customFormat="1" x14ac:dyDescent="0.25">
      <c r="A45" s="58"/>
      <c r="B45" s="63"/>
      <c r="C45" s="64"/>
      <c r="D45" s="65"/>
      <c r="E45" s="191"/>
      <c r="F45" s="62"/>
    </row>
    <row r="46" spans="1:6" s="31" customFormat="1" ht="41.4" x14ac:dyDescent="0.25">
      <c r="A46" s="58" t="s">
        <v>41</v>
      </c>
      <c r="B46" s="63" t="s">
        <v>43</v>
      </c>
      <c r="C46" s="64">
        <v>1</v>
      </c>
      <c r="D46" s="65" t="s">
        <v>13</v>
      </c>
      <c r="E46" s="191">
        <v>20000</v>
      </c>
      <c r="F46" s="62">
        <f t="shared" si="0"/>
        <v>20000</v>
      </c>
    </row>
    <row r="47" spans="1:6" s="31" customFormat="1" x14ac:dyDescent="0.25">
      <c r="A47" s="58"/>
      <c r="B47" s="80"/>
      <c r="C47" s="64"/>
      <c r="D47" s="65"/>
      <c r="E47" s="191"/>
      <c r="F47" s="62"/>
    </row>
    <row r="48" spans="1:6" s="31" customFormat="1" ht="27.6" x14ac:dyDescent="0.25">
      <c r="A48" s="58" t="s">
        <v>42</v>
      </c>
      <c r="B48" s="63" t="s">
        <v>44</v>
      </c>
      <c r="C48" s="64">
        <v>1</v>
      </c>
      <c r="D48" s="65" t="s">
        <v>13</v>
      </c>
      <c r="E48" s="191">
        <v>15000</v>
      </c>
      <c r="F48" s="62">
        <f t="shared" si="0"/>
        <v>15000</v>
      </c>
    </row>
    <row r="49" spans="1:8" s="31" customFormat="1" x14ac:dyDescent="0.25">
      <c r="A49" s="50"/>
      <c r="B49" s="81"/>
      <c r="C49" s="82"/>
      <c r="D49" s="83"/>
      <c r="E49" s="195"/>
      <c r="F49" s="84"/>
    </row>
    <row r="50" spans="1:8" s="31" customFormat="1" x14ac:dyDescent="0.25">
      <c r="A50" s="50"/>
      <c r="B50" s="81"/>
      <c r="C50" s="82"/>
      <c r="D50" s="83"/>
      <c r="E50" s="195"/>
      <c r="F50" s="84"/>
    </row>
    <row r="51" spans="1:8" s="31" customFormat="1" x14ac:dyDescent="0.25">
      <c r="A51" s="50"/>
      <c r="B51" s="81"/>
      <c r="C51" s="82"/>
      <c r="D51" s="83"/>
      <c r="E51" s="195"/>
      <c r="F51" s="84"/>
    </row>
    <row r="52" spans="1:8" s="31" customFormat="1" x14ac:dyDescent="0.25">
      <c r="A52" s="50"/>
      <c r="B52" s="81"/>
      <c r="C52" s="82"/>
      <c r="D52" s="83"/>
      <c r="E52" s="195"/>
      <c r="F52" s="84"/>
    </row>
    <row r="53" spans="1:8" s="31" customFormat="1" x14ac:dyDescent="0.25">
      <c r="A53" s="50"/>
      <c r="B53" s="81"/>
      <c r="C53" s="82"/>
      <c r="D53" s="83"/>
      <c r="E53" s="195"/>
      <c r="F53" s="84"/>
    </row>
    <row r="54" spans="1:8" s="31" customFormat="1" x14ac:dyDescent="0.25">
      <c r="A54" s="50"/>
      <c r="B54" s="85"/>
      <c r="C54" s="86"/>
      <c r="D54" s="87"/>
      <c r="E54" s="195"/>
      <c r="F54" s="84"/>
    </row>
    <row r="55" spans="1:8" s="31" customFormat="1" x14ac:dyDescent="0.25">
      <c r="A55" s="65"/>
      <c r="B55" s="88" t="s">
        <v>45</v>
      </c>
      <c r="C55" s="59"/>
      <c r="D55" s="89"/>
      <c r="E55" s="191"/>
      <c r="F55" s="61">
        <f>SUM(F10:F54)</f>
        <v>2870000</v>
      </c>
    </row>
    <row r="56" spans="1:8" s="31" customFormat="1" ht="14.4" thickBot="1" x14ac:dyDescent="0.3">
      <c r="A56" s="90"/>
      <c r="B56" s="91"/>
      <c r="C56" s="92"/>
      <c r="D56" s="93"/>
      <c r="E56" s="196"/>
      <c r="F56" s="94"/>
    </row>
    <row r="57" spans="1:8" s="12" customFormat="1" ht="28.05" customHeight="1" x14ac:dyDescent="0.25">
      <c r="A57" s="15"/>
      <c r="B57" s="16" t="s">
        <v>136</v>
      </c>
      <c r="C57" s="17"/>
      <c r="D57" s="18"/>
      <c r="E57" s="197"/>
      <c r="F57" s="41"/>
    </row>
    <row r="58" spans="1:8" s="12" customFormat="1" ht="20.100000000000001" customHeight="1" x14ac:dyDescent="0.25">
      <c r="A58" s="15"/>
      <c r="B58" s="19" t="s">
        <v>137</v>
      </c>
      <c r="C58" s="20"/>
      <c r="D58" s="18"/>
      <c r="E58" s="197"/>
      <c r="F58" s="41"/>
    </row>
    <row r="59" spans="1:8" ht="27.6" x14ac:dyDescent="0.25">
      <c r="A59" s="21" t="s">
        <v>138</v>
      </c>
      <c r="B59" s="22" t="s">
        <v>128</v>
      </c>
      <c r="C59" s="23"/>
      <c r="D59" s="18" t="s">
        <v>129</v>
      </c>
      <c r="E59" s="197">
        <v>1640</v>
      </c>
      <c r="F59" s="41">
        <f>+C59*E59</f>
        <v>0</v>
      </c>
      <c r="H59" s="24">
        <f>95/10.76</f>
        <v>8.828996282527882</v>
      </c>
    </row>
    <row r="60" spans="1:8" x14ac:dyDescent="0.25">
      <c r="A60" s="21"/>
      <c r="B60" s="22"/>
      <c r="C60" s="23"/>
      <c r="D60" s="18"/>
      <c r="E60" s="197"/>
      <c r="F60" s="41"/>
    </row>
    <row r="61" spans="1:8" s="12" customFormat="1" ht="27.6" x14ac:dyDescent="0.25">
      <c r="A61" s="15"/>
      <c r="B61" s="25" t="s">
        <v>139</v>
      </c>
      <c r="C61" s="26"/>
      <c r="D61" s="18"/>
      <c r="E61" s="197"/>
      <c r="F61" s="41"/>
    </row>
    <row r="62" spans="1:8" ht="41.4" x14ac:dyDescent="0.25">
      <c r="A62" s="21" t="s">
        <v>405</v>
      </c>
      <c r="B62" s="22" t="s">
        <v>130</v>
      </c>
      <c r="C62" s="23"/>
      <c r="D62" s="18" t="s">
        <v>131</v>
      </c>
      <c r="E62" s="197">
        <v>3450</v>
      </c>
      <c r="F62" s="41">
        <f>+C62*E62</f>
        <v>0</v>
      </c>
    </row>
    <row r="63" spans="1:8" s="12" customFormat="1" x14ac:dyDescent="0.25">
      <c r="A63" s="15"/>
      <c r="B63" s="27"/>
      <c r="C63" s="28"/>
      <c r="D63" s="18"/>
      <c r="E63" s="197"/>
      <c r="F63" s="41"/>
    </row>
    <row r="64" spans="1:8" s="12" customFormat="1" ht="25.05" customHeight="1" x14ac:dyDescent="0.25">
      <c r="A64" s="15"/>
      <c r="B64" s="19" t="s">
        <v>142</v>
      </c>
      <c r="C64" s="20"/>
      <c r="D64" s="18"/>
      <c r="E64" s="197"/>
      <c r="F64" s="41"/>
    </row>
    <row r="65" spans="1:8" s="12" customFormat="1" ht="15" customHeight="1" x14ac:dyDescent="0.25">
      <c r="A65" s="15"/>
      <c r="B65" s="19" t="s">
        <v>143</v>
      </c>
      <c r="C65" s="20"/>
      <c r="D65" s="18"/>
      <c r="E65" s="197"/>
      <c r="F65" s="41"/>
    </row>
    <row r="66" spans="1:8" s="12" customFormat="1" ht="27.6" x14ac:dyDescent="0.25">
      <c r="A66" s="15"/>
      <c r="B66" s="25" t="s">
        <v>144</v>
      </c>
      <c r="C66" s="26"/>
      <c r="D66" s="18"/>
      <c r="E66" s="197"/>
      <c r="F66" s="41"/>
    </row>
    <row r="67" spans="1:8" s="12" customFormat="1" ht="27.6" x14ac:dyDescent="0.25">
      <c r="A67" s="29" t="s">
        <v>145</v>
      </c>
      <c r="B67" s="25" t="s">
        <v>146</v>
      </c>
      <c r="C67" s="26"/>
      <c r="D67" s="18"/>
      <c r="E67" s="197"/>
      <c r="F67" s="41"/>
    </row>
    <row r="68" spans="1:8" s="12" customFormat="1" ht="30.75" customHeight="1" x14ac:dyDescent="0.25">
      <c r="A68" s="29" t="s">
        <v>147</v>
      </c>
      <c r="B68" s="25" t="s">
        <v>148</v>
      </c>
      <c r="C68" s="26"/>
      <c r="D68" s="18"/>
      <c r="E68" s="197"/>
      <c r="F68" s="41"/>
    </row>
    <row r="69" spans="1:8" s="12" customFormat="1" ht="43.05" customHeight="1" x14ac:dyDescent="0.25">
      <c r="A69" s="29" t="s">
        <v>149</v>
      </c>
      <c r="B69" s="25" t="s">
        <v>150</v>
      </c>
      <c r="C69" s="26"/>
      <c r="D69" s="18"/>
      <c r="E69" s="197"/>
      <c r="F69" s="41"/>
    </row>
    <row r="70" spans="1:8" s="12" customFormat="1" ht="43.05" customHeight="1" x14ac:dyDescent="0.25">
      <c r="A70" s="29" t="s">
        <v>151</v>
      </c>
      <c r="B70" s="25" t="s">
        <v>152</v>
      </c>
      <c r="C70" s="26"/>
      <c r="D70" s="18"/>
      <c r="E70" s="197"/>
      <c r="F70" s="41"/>
    </row>
    <row r="71" spans="1:8" x14ac:dyDescent="0.25">
      <c r="A71" s="21" t="s">
        <v>406</v>
      </c>
      <c r="B71" s="22" t="s">
        <v>334</v>
      </c>
      <c r="C71" s="23"/>
      <c r="D71" s="18" t="s">
        <v>131</v>
      </c>
      <c r="E71" s="197">
        <v>3570</v>
      </c>
      <c r="F71" s="41">
        <f>+C71*E71</f>
        <v>0</v>
      </c>
      <c r="H71" s="24">
        <f>8.9+21.3</f>
        <v>30.200000000000003</v>
      </c>
    </row>
    <row r="72" spans="1:8" s="12" customFormat="1" ht="41.4" x14ac:dyDescent="0.25">
      <c r="A72" s="21" t="s">
        <v>140</v>
      </c>
      <c r="B72" s="27" t="s">
        <v>335</v>
      </c>
      <c r="C72" s="28"/>
      <c r="D72" s="18" t="s">
        <v>153</v>
      </c>
      <c r="E72" s="197">
        <v>157</v>
      </c>
      <c r="F72" s="41"/>
    </row>
    <row r="73" spans="1:8" s="12" customFormat="1" ht="82.8" x14ac:dyDescent="0.25">
      <c r="A73" s="21" t="s">
        <v>407</v>
      </c>
      <c r="B73" s="27" t="s">
        <v>336</v>
      </c>
      <c r="C73" s="23"/>
      <c r="D73" s="18" t="s">
        <v>131</v>
      </c>
      <c r="E73" s="197">
        <v>1470</v>
      </c>
      <c r="F73" s="41">
        <f t="shared" ref="F73" si="1">+C73*E73</f>
        <v>0</v>
      </c>
    </row>
    <row r="74" spans="1:8" s="12" customFormat="1" x14ac:dyDescent="0.25">
      <c r="A74" s="15"/>
      <c r="B74" s="27"/>
      <c r="C74" s="28"/>
      <c r="D74" s="18"/>
      <c r="E74" s="197"/>
      <c r="F74" s="41"/>
    </row>
    <row r="75" spans="1:8" s="12" customFormat="1" x14ac:dyDescent="0.25">
      <c r="A75" s="15"/>
      <c r="B75" s="19" t="s">
        <v>154</v>
      </c>
      <c r="C75" s="20"/>
      <c r="D75" s="18"/>
      <c r="E75" s="197"/>
      <c r="F75" s="41"/>
    </row>
    <row r="76" spans="1:8" s="31" customFormat="1" x14ac:dyDescent="0.25">
      <c r="A76" s="21" t="s">
        <v>408</v>
      </c>
      <c r="B76" s="27" t="s">
        <v>155</v>
      </c>
      <c r="C76" s="28"/>
      <c r="D76" s="18" t="s">
        <v>156</v>
      </c>
      <c r="E76" s="197">
        <v>3000</v>
      </c>
      <c r="F76" s="41"/>
    </row>
    <row r="77" spans="1:8" s="31" customFormat="1" x14ac:dyDescent="0.25">
      <c r="A77" s="21" t="s">
        <v>409</v>
      </c>
      <c r="B77" s="27" t="s">
        <v>157</v>
      </c>
      <c r="C77" s="28"/>
      <c r="D77" s="18" t="s">
        <v>156</v>
      </c>
      <c r="E77" s="197">
        <v>4000</v>
      </c>
      <c r="F77" s="41"/>
    </row>
    <row r="78" spans="1:8" s="12" customFormat="1" ht="34.5" customHeight="1" x14ac:dyDescent="0.25">
      <c r="A78" s="15"/>
      <c r="B78" s="32" t="s">
        <v>158</v>
      </c>
      <c r="C78" s="33"/>
      <c r="D78" s="18"/>
      <c r="E78" s="197"/>
      <c r="F78" s="41"/>
    </row>
    <row r="79" spans="1:8" ht="112.05" customHeight="1" x14ac:dyDescent="0.25">
      <c r="A79" s="21" t="s">
        <v>410</v>
      </c>
      <c r="B79" s="22" t="s">
        <v>159</v>
      </c>
      <c r="C79" s="23"/>
      <c r="D79" s="18" t="s">
        <v>141</v>
      </c>
      <c r="E79" s="197">
        <v>32</v>
      </c>
      <c r="F79" s="41">
        <f t="shared" ref="F79" si="2">+C79*E79</f>
        <v>0</v>
      </c>
    </row>
    <row r="80" spans="1:8" x14ac:dyDescent="0.25">
      <c r="A80" s="21"/>
      <c r="B80" s="22"/>
      <c r="C80" s="23"/>
      <c r="D80" s="18"/>
      <c r="E80" s="197"/>
      <c r="F80" s="41"/>
    </row>
    <row r="81" spans="1:9" x14ac:dyDescent="0.25">
      <c r="A81" s="95"/>
      <c r="B81" s="96"/>
      <c r="C81" s="97"/>
      <c r="D81" s="98"/>
      <c r="E81" s="198"/>
      <c r="F81" s="99"/>
    </row>
    <row r="82" spans="1:9" s="12" customFormat="1" x14ac:dyDescent="0.25">
      <c r="A82" s="102"/>
      <c r="B82" s="103" t="s">
        <v>46</v>
      </c>
      <c r="C82" s="104"/>
      <c r="D82" s="105"/>
      <c r="E82" s="199"/>
      <c r="F82" s="106">
        <f>SUM(F59:F80)</f>
        <v>0</v>
      </c>
    </row>
    <row r="83" spans="1:9" s="12" customFormat="1" ht="28.05" customHeight="1" x14ac:dyDescent="0.25">
      <c r="A83" s="13"/>
      <c r="B83" s="100" t="s">
        <v>160</v>
      </c>
      <c r="C83" s="101"/>
      <c r="D83" s="14"/>
      <c r="E83" s="200"/>
      <c r="F83" s="40"/>
    </row>
    <row r="84" spans="1:9" s="12" customFormat="1" ht="20.100000000000001" customHeight="1" x14ac:dyDescent="0.25">
      <c r="A84" s="15"/>
      <c r="B84" s="19" t="s">
        <v>161</v>
      </c>
      <c r="C84" s="20"/>
      <c r="D84" s="18"/>
      <c r="E84" s="197"/>
      <c r="F84" s="41"/>
    </row>
    <row r="85" spans="1:9" s="12" customFormat="1" ht="55.05" customHeight="1" x14ac:dyDescent="0.25">
      <c r="A85" s="15"/>
      <c r="B85" s="25" t="s">
        <v>162</v>
      </c>
      <c r="C85" s="26"/>
      <c r="D85" s="18"/>
      <c r="E85" s="197"/>
      <c r="F85" s="41"/>
    </row>
    <row r="86" spans="1:9" s="12" customFormat="1" x14ac:dyDescent="0.25">
      <c r="A86" s="15"/>
      <c r="B86" s="19" t="s">
        <v>340</v>
      </c>
      <c r="C86" s="26"/>
      <c r="D86" s="18"/>
      <c r="E86" s="197"/>
      <c r="F86" s="41"/>
    </row>
    <row r="87" spans="1:9" s="12" customFormat="1" ht="28.05" customHeight="1" x14ac:dyDescent="0.25">
      <c r="A87" s="15"/>
      <c r="B87" s="19" t="s">
        <v>163</v>
      </c>
      <c r="C87" s="20"/>
      <c r="D87" s="18"/>
      <c r="E87" s="197"/>
      <c r="F87" s="41"/>
    </row>
    <row r="88" spans="1:9" ht="55.2" x14ac:dyDescent="0.25">
      <c r="A88" s="21" t="s">
        <v>411</v>
      </c>
      <c r="B88" s="22" t="s">
        <v>337</v>
      </c>
      <c r="C88" s="23"/>
      <c r="D88" s="18" t="s">
        <v>129</v>
      </c>
      <c r="E88" s="197">
        <v>6235</v>
      </c>
      <c r="F88" s="41">
        <f t="shared" ref="F88" si="3">+C88*E88</f>
        <v>0</v>
      </c>
      <c r="H88" s="12">
        <f>14292*2.83</f>
        <v>40446.36</v>
      </c>
    </row>
    <row r="89" spans="1:9" x14ac:dyDescent="0.25">
      <c r="A89" s="21"/>
      <c r="B89" s="22"/>
      <c r="C89" s="23"/>
      <c r="D89" s="18"/>
      <c r="E89" s="197"/>
      <c r="F89" s="41"/>
    </row>
    <row r="90" spans="1:9" s="12" customFormat="1" ht="28.05" customHeight="1" x14ac:dyDescent="0.25">
      <c r="A90" s="15"/>
      <c r="B90" s="19" t="s">
        <v>166</v>
      </c>
      <c r="C90" s="20"/>
      <c r="D90" s="18"/>
      <c r="E90" s="197"/>
      <c r="F90" s="41"/>
    </row>
    <row r="91" spans="1:9" s="12" customFormat="1" x14ac:dyDescent="0.25">
      <c r="A91" s="15"/>
      <c r="B91" s="19"/>
      <c r="C91" s="20"/>
      <c r="D91" s="18"/>
      <c r="E91" s="197"/>
      <c r="F91" s="41"/>
    </row>
    <row r="92" spans="1:9" s="12" customFormat="1" ht="55.2" x14ac:dyDescent="0.25">
      <c r="A92" s="21" t="s">
        <v>164</v>
      </c>
      <c r="B92" s="27" t="s">
        <v>339</v>
      </c>
      <c r="C92" s="20"/>
      <c r="D92" s="18"/>
      <c r="E92" s="197"/>
      <c r="F92" s="41"/>
    </row>
    <row r="93" spans="1:9" s="31" customFormat="1" x14ac:dyDescent="0.25">
      <c r="A93" s="30" t="s">
        <v>412</v>
      </c>
      <c r="B93" s="27" t="s">
        <v>108</v>
      </c>
      <c r="C93" s="28"/>
      <c r="D93" s="18" t="s">
        <v>131</v>
      </c>
      <c r="E93" s="197">
        <v>46030</v>
      </c>
      <c r="F93" s="41">
        <f>C93*E93</f>
        <v>0</v>
      </c>
      <c r="H93" s="31">
        <f>+C93/2.83</f>
        <v>0</v>
      </c>
      <c r="I93" s="31">
        <v>4.8975265017667837</v>
      </c>
    </row>
    <row r="94" spans="1:9" s="31" customFormat="1" x14ac:dyDescent="0.25">
      <c r="A94" s="30" t="s">
        <v>413</v>
      </c>
      <c r="B94" s="27" t="s">
        <v>98</v>
      </c>
      <c r="C94" s="28"/>
      <c r="D94" s="18" t="s">
        <v>131</v>
      </c>
      <c r="E94" s="197">
        <v>46030</v>
      </c>
      <c r="F94" s="41">
        <f>C94*E94</f>
        <v>0</v>
      </c>
      <c r="H94" s="31">
        <f t="shared" ref="H94:H96" si="4">+C94/2.83</f>
        <v>0</v>
      </c>
      <c r="I94" s="31">
        <v>0.62544169611307421</v>
      </c>
    </row>
    <row r="95" spans="1:9" s="31" customFormat="1" x14ac:dyDescent="0.25">
      <c r="A95" s="30" t="s">
        <v>414</v>
      </c>
      <c r="B95" s="27" t="s">
        <v>99</v>
      </c>
      <c r="C95" s="28"/>
      <c r="D95" s="18" t="s">
        <v>131</v>
      </c>
      <c r="E95" s="197">
        <v>46030</v>
      </c>
      <c r="F95" s="41">
        <f>C95*E95</f>
        <v>0</v>
      </c>
      <c r="H95" s="31">
        <f t="shared" si="4"/>
        <v>0</v>
      </c>
      <c r="I95" s="31">
        <v>6.2296819787985864</v>
      </c>
    </row>
    <row r="96" spans="1:9" s="31" customFormat="1" x14ac:dyDescent="0.25">
      <c r="A96" s="30" t="s">
        <v>415</v>
      </c>
      <c r="B96" s="27" t="s">
        <v>100</v>
      </c>
      <c r="C96" s="28"/>
      <c r="D96" s="18" t="s">
        <v>131</v>
      </c>
      <c r="E96" s="197">
        <v>46030</v>
      </c>
      <c r="F96" s="41">
        <f>C96*E96</f>
        <v>0</v>
      </c>
      <c r="H96" s="31">
        <f t="shared" si="4"/>
        <v>0</v>
      </c>
      <c r="I96" s="31">
        <v>0.37809187279151946</v>
      </c>
    </row>
    <row r="97" spans="1:9" s="31" customFormat="1" x14ac:dyDescent="0.25">
      <c r="A97" s="30" t="s">
        <v>694</v>
      </c>
      <c r="B97" s="27" t="s">
        <v>695</v>
      </c>
      <c r="C97" s="28"/>
      <c r="D97" s="18" t="s">
        <v>131</v>
      </c>
      <c r="E97" s="197">
        <v>46030</v>
      </c>
      <c r="F97" s="41">
        <f>C97*E97</f>
        <v>0</v>
      </c>
    </row>
    <row r="98" spans="1:9" s="31" customFormat="1" x14ac:dyDescent="0.25">
      <c r="A98" s="30"/>
      <c r="B98" s="27"/>
      <c r="C98" s="28"/>
      <c r="D98" s="18"/>
      <c r="E98" s="197"/>
      <c r="F98" s="41"/>
    </row>
    <row r="99" spans="1:9" s="12" customFormat="1" ht="69" x14ac:dyDescent="0.25">
      <c r="A99" s="21" t="s">
        <v>416</v>
      </c>
      <c r="B99" s="27" t="s">
        <v>338</v>
      </c>
      <c r="C99" s="23"/>
      <c r="D99" s="18"/>
      <c r="E99" s="197"/>
      <c r="F99" s="41"/>
      <c r="H99" s="12">
        <f>18.76/2.83</f>
        <v>6.6289752650176679</v>
      </c>
    </row>
    <row r="100" spans="1:9" s="12" customFormat="1" x14ac:dyDescent="0.3">
      <c r="A100" s="30" t="s">
        <v>417</v>
      </c>
      <c r="B100" s="1" t="s">
        <v>341</v>
      </c>
      <c r="C100" s="23"/>
      <c r="D100" s="18" t="s">
        <v>131</v>
      </c>
      <c r="E100" s="197">
        <v>37095</v>
      </c>
      <c r="F100" s="41">
        <f t="shared" ref="F100:F103" si="5">+C100*E100</f>
        <v>0</v>
      </c>
      <c r="H100" s="2">
        <v>2.5</v>
      </c>
      <c r="I100" s="12">
        <f>+H100/2.83</f>
        <v>0.88339222614840984</v>
      </c>
    </row>
    <row r="101" spans="1:9" s="12" customFormat="1" x14ac:dyDescent="0.3">
      <c r="A101" s="30" t="s">
        <v>418</v>
      </c>
      <c r="B101" s="1" t="s">
        <v>696</v>
      </c>
      <c r="C101" s="23"/>
      <c r="D101" s="18" t="s">
        <v>131</v>
      </c>
      <c r="E101" s="197">
        <v>37095</v>
      </c>
      <c r="F101" s="41">
        <f t="shared" si="5"/>
        <v>0</v>
      </c>
      <c r="H101" s="2"/>
    </row>
    <row r="102" spans="1:9" s="12" customFormat="1" x14ac:dyDescent="0.3">
      <c r="A102" s="30" t="s">
        <v>419</v>
      </c>
      <c r="B102" s="1" t="s">
        <v>697</v>
      </c>
      <c r="C102" s="23"/>
      <c r="D102" s="18" t="s">
        <v>131</v>
      </c>
      <c r="E102" s="197">
        <v>37095</v>
      </c>
      <c r="F102" s="41">
        <f t="shared" si="5"/>
        <v>0</v>
      </c>
      <c r="H102" s="2">
        <v>0.65</v>
      </c>
      <c r="I102" s="12">
        <f>+H102/2.83</f>
        <v>0.22968197879858657</v>
      </c>
    </row>
    <row r="103" spans="1:9" s="12" customFormat="1" ht="14.4" thickBot="1" x14ac:dyDescent="0.3">
      <c r="A103" s="30" t="s">
        <v>699</v>
      </c>
      <c r="B103" s="27" t="s">
        <v>698</v>
      </c>
      <c r="C103" s="23"/>
      <c r="D103" s="18" t="s">
        <v>131</v>
      </c>
      <c r="E103" s="197">
        <v>37095</v>
      </c>
      <c r="F103" s="41">
        <f t="shared" si="5"/>
        <v>0</v>
      </c>
    </row>
    <row r="104" spans="1:9" s="12" customFormat="1" ht="15.6" x14ac:dyDescent="0.25">
      <c r="A104" s="21"/>
      <c r="B104" s="3" t="s">
        <v>47</v>
      </c>
      <c r="C104" s="23"/>
      <c r="D104" s="18"/>
      <c r="E104" s="197"/>
      <c r="F104" s="41"/>
    </row>
    <row r="105" spans="1:9" s="12" customFormat="1" x14ac:dyDescent="0.25">
      <c r="A105" s="21"/>
      <c r="B105" s="27"/>
      <c r="C105" s="23"/>
      <c r="D105" s="18"/>
      <c r="E105" s="197"/>
      <c r="F105" s="41"/>
    </row>
    <row r="106" spans="1:9" s="12" customFormat="1" ht="55.2" x14ac:dyDescent="0.25">
      <c r="A106" s="21" t="s">
        <v>165</v>
      </c>
      <c r="B106" s="27" t="s">
        <v>339</v>
      </c>
      <c r="C106" s="23"/>
      <c r="D106" s="18"/>
      <c r="E106" s="197"/>
      <c r="F106" s="41"/>
    </row>
    <row r="107" spans="1:9" s="31" customFormat="1" x14ac:dyDescent="0.25">
      <c r="A107" s="30" t="s">
        <v>420</v>
      </c>
      <c r="B107" s="27" t="s">
        <v>48</v>
      </c>
      <c r="C107" s="28"/>
      <c r="D107" s="18" t="s">
        <v>131</v>
      </c>
      <c r="E107" s="197">
        <v>46030</v>
      </c>
      <c r="F107" s="41">
        <f>C107*E107</f>
        <v>0</v>
      </c>
      <c r="H107" s="12"/>
      <c r="I107" s="12"/>
    </row>
    <row r="108" spans="1:9" s="31" customFormat="1" x14ac:dyDescent="0.25">
      <c r="A108" s="30" t="s">
        <v>422</v>
      </c>
      <c r="B108" s="27" t="s">
        <v>49</v>
      </c>
      <c r="C108" s="28"/>
      <c r="D108" s="18" t="s">
        <v>131</v>
      </c>
      <c r="E108" s="197">
        <v>47410</v>
      </c>
      <c r="F108" s="41">
        <f t="shared" ref="F108:F110" si="6">C108*E108</f>
        <v>0</v>
      </c>
      <c r="H108" s="12"/>
      <c r="I108" s="12"/>
    </row>
    <row r="109" spans="1:9" s="31" customFormat="1" x14ac:dyDescent="0.25">
      <c r="A109" s="30" t="s">
        <v>421</v>
      </c>
      <c r="B109" s="27" t="s">
        <v>109</v>
      </c>
      <c r="C109" s="28"/>
      <c r="D109" s="18" t="s">
        <v>131</v>
      </c>
      <c r="E109" s="197">
        <v>48330</v>
      </c>
      <c r="F109" s="41">
        <f t="shared" si="6"/>
        <v>0</v>
      </c>
      <c r="H109" s="12"/>
      <c r="I109" s="12"/>
    </row>
    <row r="110" spans="1:9" s="31" customFormat="1" x14ac:dyDescent="0.25">
      <c r="A110" s="30" t="s">
        <v>423</v>
      </c>
      <c r="B110" s="27" t="s">
        <v>110</v>
      </c>
      <c r="C110" s="28"/>
      <c r="D110" s="18" t="s">
        <v>131</v>
      </c>
      <c r="E110" s="197">
        <v>49250</v>
      </c>
      <c r="F110" s="41">
        <f t="shared" si="6"/>
        <v>0</v>
      </c>
      <c r="H110" s="12"/>
      <c r="I110" s="12"/>
    </row>
    <row r="111" spans="1:9" s="12" customFormat="1" x14ac:dyDescent="0.25">
      <c r="A111" s="21"/>
      <c r="B111" s="27"/>
      <c r="C111" s="23"/>
      <c r="D111" s="18"/>
      <c r="E111" s="197"/>
      <c r="F111" s="41"/>
    </row>
    <row r="112" spans="1:9" s="12" customFormat="1" x14ac:dyDescent="0.25">
      <c r="A112" s="21"/>
      <c r="B112" s="27"/>
      <c r="C112" s="23"/>
      <c r="D112" s="18"/>
      <c r="E112" s="197"/>
      <c r="F112" s="41"/>
    </row>
    <row r="113" spans="1:12" s="12" customFormat="1" x14ac:dyDescent="0.25">
      <c r="A113" s="15"/>
      <c r="B113" s="19" t="s">
        <v>169</v>
      </c>
      <c r="C113" s="20"/>
      <c r="D113" s="18"/>
      <c r="E113" s="197"/>
      <c r="F113" s="41"/>
    </row>
    <row r="114" spans="1:12" ht="55.2" x14ac:dyDescent="0.25">
      <c r="A114" s="21" t="s">
        <v>424</v>
      </c>
      <c r="B114" s="22" t="s">
        <v>347</v>
      </c>
      <c r="C114" s="23"/>
      <c r="D114" s="18"/>
      <c r="E114" s="197">
        <v>14690</v>
      </c>
      <c r="F114" s="41"/>
    </row>
    <row r="115" spans="1:12" s="31" customFormat="1" x14ac:dyDescent="0.25">
      <c r="A115" s="30" t="s">
        <v>425</v>
      </c>
      <c r="B115" s="27" t="s">
        <v>50</v>
      </c>
      <c r="C115" s="28"/>
      <c r="D115" s="18" t="s">
        <v>170</v>
      </c>
      <c r="E115" s="197">
        <v>14690</v>
      </c>
      <c r="F115" s="41">
        <f>C115*E115</f>
        <v>0</v>
      </c>
      <c r="H115" s="12">
        <f>+C115+C120+C125</f>
        <v>0</v>
      </c>
      <c r="I115" s="12">
        <f>+H115*E114+H115*500+21750+725*20.44</f>
        <v>36569</v>
      </c>
      <c r="J115" s="31">
        <f>236.65*5.25</f>
        <v>1242.4125000000001</v>
      </c>
      <c r="K115" s="31">
        <f>SUM(I115:J115)</f>
        <v>37811.412499999999</v>
      </c>
      <c r="L115" s="31" t="e">
        <f>+K115/H115</f>
        <v>#DIV/0!</v>
      </c>
    </row>
    <row r="116" spans="1:12" s="31" customFormat="1" x14ac:dyDescent="0.25">
      <c r="A116" s="30" t="s">
        <v>426</v>
      </c>
      <c r="B116" s="27" t="s">
        <v>51</v>
      </c>
      <c r="C116" s="28"/>
      <c r="D116" s="18" t="s">
        <v>170</v>
      </c>
      <c r="E116" s="197">
        <v>14690</v>
      </c>
      <c r="F116" s="41">
        <f>C116*E116</f>
        <v>0</v>
      </c>
      <c r="H116" s="12">
        <f>+C116+C121+C126</f>
        <v>0</v>
      </c>
      <c r="I116" s="12">
        <f>+H116*E114+H116*500+21750+725*18.94</f>
        <v>35481.5</v>
      </c>
      <c r="J116" s="31">
        <f>236.65*5.25</f>
        <v>1242.4125000000001</v>
      </c>
      <c r="K116" s="31">
        <f>SUM(I116:J116)</f>
        <v>36723.912499999999</v>
      </c>
      <c r="L116" s="31" t="e">
        <f>+K116/H116</f>
        <v>#DIV/0!</v>
      </c>
    </row>
    <row r="117" spans="1:12" s="31" customFormat="1" x14ac:dyDescent="0.25">
      <c r="A117" s="30" t="s">
        <v>427</v>
      </c>
      <c r="B117" s="27" t="s">
        <v>111</v>
      </c>
      <c r="C117" s="28"/>
      <c r="D117" s="18" t="s">
        <v>170</v>
      </c>
      <c r="E117" s="197">
        <v>14690</v>
      </c>
      <c r="F117" s="41">
        <f>C117*E117</f>
        <v>0</v>
      </c>
      <c r="H117" s="12">
        <f>+C117+C122</f>
        <v>0</v>
      </c>
      <c r="I117" s="12"/>
    </row>
    <row r="118" spans="1:12" s="31" customFormat="1" x14ac:dyDescent="0.25">
      <c r="A118" s="30" t="s">
        <v>428</v>
      </c>
      <c r="B118" s="27" t="s">
        <v>112</v>
      </c>
      <c r="C118" s="28"/>
      <c r="D118" s="18" t="s">
        <v>170</v>
      </c>
      <c r="E118" s="197">
        <v>14690</v>
      </c>
      <c r="F118" s="41">
        <f>C118*E118</f>
        <v>0</v>
      </c>
      <c r="H118" s="12">
        <f>+C118+C123</f>
        <v>0</v>
      </c>
      <c r="I118" s="12"/>
    </row>
    <row r="119" spans="1:12" s="31" customFormat="1" x14ac:dyDescent="0.25">
      <c r="A119" s="30"/>
      <c r="B119" s="27"/>
      <c r="C119" s="28"/>
      <c r="D119" s="18"/>
      <c r="E119" s="197"/>
      <c r="F119" s="41"/>
      <c r="H119" s="12"/>
      <c r="I119" s="12"/>
    </row>
    <row r="120" spans="1:12" s="31" customFormat="1" x14ac:dyDescent="0.25">
      <c r="A120" s="30" t="s">
        <v>429</v>
      </c>
      <c r="B120" s="27" t="s">
        <v>52</v>
      </c>
      <c r="C120" s="28"/>
      <c r="D120" s="18" t="s">
        <v>170</v>
      </c>
      <c r="E120" s="197">
        <v>14690</v>
      </c>
      <c r="F120" s="41">
        <f>C120*E120</f>
        <v>0</v>
      </c>
      <c r="H120" s="12">
        <f>SUM(H115:H116)</f>
        <v>0</v>
      </c>
      <c r="I120" s="12"/>
    </row>
    <row r="121" spans="1:12" s="31" customFormat="1" x14ac:dyDescent="0.25">
      <c r="A121" s="30" t="s">
        <v>430</v>
      </c>
      <c r="B121" s="27" t="s">
        <v>53</v>
      </c>
      <c r="C121" s="28"/>
      <c r="D121" s="18" t="s">
        <v>170</v>
      </c>
      <c r="E121" s="197">
        <v>14690</v>
      </c>
      <c r="F121" s="41">
        <f>C121*E121</f>
        <v>0</v>
      </c>
      <c r="H121" s="12"/>
      <c r="I121" s="12"/>
    </row>
    <row r="122" spans="1:12" s="31" customFormat="1" x14ac:dyDescent="0.25">
      <c r="A122" s="30" t="s">
        <v>431</v>
      </c>
      <c r="B122" s="27" t="s">
        <v>114</v>
      </c>
      <c r="C122" s="28"/>
      <c r="D122" s="18" t="s">
        <v>170</v>
      </c>
      <c r="E122" s="197">
        <v>14690</v>
      </c>
      <c r="F122" s="41">
        <f>C122*E122</f>
        <v>0</v>
      </c>
      <c r="H122" s="12"/>
      <c r="I122" s="12"/>
    </row>
    <row r="123" spans="1:12" s="31" customFormat="1" x14ac:dyDescent="0.25">
      <c r="A123" s="30" t="s">
        <v>432</v>
      </c>
      <c r="B123" s="27" t="s">
        <v>115</v>
      </c>
      <c r="C123" s="28"/>
      <c r="D123" s="18" t="s">
        <v>170</v>
      </c>
      <c r="E123" s="197">
        <v>14690</v>
      </c>
      <c r="F123" s="41">
        <f>C123*E123</f>
        <v>0</v>
      </c>
      <c r="H123" s="12"/>
      <c r="I123" s="12"/>
    </row>
    <row r="124" spans="1:12" s="31" customFormat="1" x14ac:dyDescent="0.25">
      <c r="A124" s="30"/>
      <c r="B124" s="27"/>
      <c r="C124" s="28"/>
      <c r="D124" s="18"/>
      <c r="E124" s="197"/>
      <c r="F124" s="41"/>
      <c r="H124" s="12"/>
      <c r="I124" s="12"/>
    </row>
    <row r="125" spans="1:12" s="31" customFormat="1" x14ac:dyDescent="0.25">
      <c r="A125" s="30" t="s">
        <v>433</v>
      </c>
      <c r="B125" s="27" t="s">
        <v>54</v>
      </c>
      <c r="C125" s="28"/>
      <c r="D125" s="18" t="s">
        <v>170</v>
      </c>
      <c r="E125" s="197">
        <v>14690</v>
      </c>
      <c r="F125" s="41">
        <f>C125*E125</f>
        <v>0</v>
      </c>
      <c r="H125" s="12"/>
      <c r="I125" s="12"/>
    </row>
    <row r="126" spans="1:12" s="31" customFormat="1" x14ac:dyDescent="0.25">
      <c r="A126" s="30" t="s">
        <v>434</v>
      </c>
      <c r="B126" s="27" t="s">
        <v>55</v>
      </c>
      <c r="C126" s="28"/>
      <c r="D126" s="18" t="s">
        <v>170</v>
      </c>
      <c r="E126" s="197">
        <v>14690</v>
      </c>
      <c r="F126" s="41">
        <f>C126*E126</f>
        <v>0</v>
      </c>
      <c r="H126" s="12"/>
      <c r="I126" s="12"/>
    </row>
    <row r="127" spans="1:12" s="31" customFormat="1" x14ac:dyDescent="0.25">
      <c r="A127" s="30"/>
      <c r="B127" s="27"/>
      <c r="C127" s="28"/>
      <c r="D127" s="18"/>
      <c r="E127" s="197"/>
      <c r="F127" s="41"/>
      <c r="H127" s="12"/>
      <c r="I127" s="12"/>
    </row>
    <row r="128" spans="1:12" s="12" customFormat="1" ht="16.8" x14ac:dyDescent="0.25">
      <c r="A128" s="30" t="s">
        <v>435</v>
      </c>
      <c r="B128" s="27" t="s">
        <v>171</v>
      </c>
      <c r="C128" s="28"/>
      <c r="D128" s="18" t="s">
        <v>172</v>
      </c>
      <c r="E128" s="197">
        <v>325</v>
      </c>
      <c r="F128" s="41"/>
    </row>
    <row r="129" spans="1:8" s="12" customFormat="1" x14ac:dyDescent="0.25">
      <c r="A129" s="30" t="s">
        <v>436</v>
      </c>
      <c r="B129" s="27" t="s">
        <v>173</v>
      </c>
      <c r="C129" s="28"/>
      <c r="D129" s="18" t="s">
        <v>170</v>
      </c>
      <c r="E129" s="197">
        <v>500</v>
      </c>
      <c r="F129" s="41">
        <f>C129*E129</f>
        <v>0</v>
      </c>
    </row>
    <row r="130" spans="1:8" s="12" customFormat="1" ht="16.8" x14ac:dyDescent="0.25">
      <c r="A130" s="30" t="s">
        <v>437</v>
      </c>
      <c r="B130" s="27" t="s">
        <v>342</v>
      </c>
      <c r="C130" s="28"/>
      <c r="D130" s="18" t="s">
        <v>78</v>
      </c>
      <c r="E130" s="197">
        <v>21750</v>
      </c>
      <c r="F130" s="41">
        <f>C130*E130</f>
        <v>0</v>
      </c>
    </row>
    <row r="131" spans="1:8" ht="33.6" x14ac:dyDescent="0.25">
      <c r="A131" s="30" t="s">
        <v>438</v>
      </c>
      <c r="B131" s="22" t="s">
        <v>343</v>
      </c>
      <c r="C131" s="23"/>
      <c r="D131" s="18" t="s">
        <v>170</v>
      </c>
      <c r="E131" s="197">
        <v>725</v>
      </c>
      <c r="F131" s="41">
        <f t="shared" ref="F131:F133" si="7">C131*E131</f>
        <v>0</v>
      </c>
      <c r="G131" s="12"/>
      <c r="H131" s="12"/>
    </row>
    <row r="132" spans="1:8" ht="27.6" x14ac:dyDescent="0.25">
      <c r="A132" s="30" t="s">
        <v>439</v>
      </c>
      <c r="B132" s="43" t="s">
        <v>344</v>
      </c>
      <c r="C132" s="23"/>
      <c r="D132" s="18" t="s">
        <v>346</v>
      </c>
      <c r="E132" s="197">
        <v>5.25</v>
      </c>
      <c r="F132" s="41">
        <f t="shared" si="7"/>
        <v>0</v>
      </c>
      <c r="G132" s="12"/>
      <c r="H132" s="12"/>
    </row>
    <row r="133" spans="1:8" ht="55.2" x14ac:dyDescent="0.25">
      <c r="A133" s="30" t="s">
        <v>440</v>
      </c>
      <c r="B133" s="22" t="s">
        <v>345</v>
      </c>
      <c r="C133" s="23"/>
      <c r="D133" s="18" t="s">
        <v>78</v>
      </c>
      <c r="E133" s="197">
        <v>1155</v>
      </c>
      <c r="F133" s="41">
        <f t="shared" si="7"/>
        <v>0</v>
      </c>
      <c r="G133" s="12"/>
      <c r="H133" s="12"/>
    </row>
    <row r="134" spans="1:8" x14ac:dyDescent="0.25">
      <c r="A134" s="30"/>
      <c r="B134" s="22"/>
      <c r="C134" s="23"/>
      <c r="D134" s="18"/>
      <c r="E134" s="197"/>
      <c r="F134" s="41"/>
      <c r="G134" s="12"/>
      <c r="H134" s="12"/>
    </row>
    <row r="135" spans="1:8" x14ac:dyDescent="0.25">
      <c r="A135" s="30"/>
      <c r="B135" s="22"/>
      <c r="C135" s="23"/>
      <c r="D135" s="18"/>
      <c r="E135" s="197"/>
      <c r="F135" s="41"/>
      <c r="G135" s="12"/>
      <c r="H135" s="12"/>
    </row>
    <row r="136" spans="1:8" s="12" customFormat="1" x14ac:dyDescent="0.25">
      <c r="A136" s="102"/>
      <c r="B136" s="103" t="s">
        <v>46</v>
      </c>
      <c r="C136" s="104"/>
      <c r="D136" s="105"/>
      <c r="E136" s="199"/>
      <c r="F136" s="106">
        <f>SUM(F88:F134)</f>
        <v>0</v>
      </c>
    </row>
    <row r="137" spans="1:8" s="35" customFormat="1" ht="28.05" customHeight="1" x14ac:dyDescent="0.25">
      <c r="A137" s="29"/>
      <c r="B137" s="32" t="s">
        <v>174</v>
      </c>
      <c r="C137" s="33"/>
      <c r="D137" s="34"/>
      <c r="E137" s="201"/>
      <c r="F137" s="42"/>
    </row>
    <row r="138" spans="1:8" s="35" customFormat="1" ht="20.100000000000001" customHeight="1" x14ac:dyDescent="0.25">
      <c r="A138" s="29"/>
      <c r="B138" s="19" t="s">
        <v>175</v>
      </c>
      <c r="C138" s="20"/>
      <c r="D138" s="34"/>
      <c r="E138" s="201"/>
      <c r="F138" s="42"/>
    </row>
    <row r="139" spans="1:8" s="35" customFormat="1" ht="88.05" customHeight="1" x14ac:dyDescent="0.25">
      <c r="A139" s="29" t="s">
        <v>176</v>
      </c>
      <c r="B139" s="25" t="s">
        <v>177</v>
      </c>
      <c r="C139" s="26"/>
      <c r="D139" s="34"/>
      <c r="E139" s="201"/>
      <c r="F139" s="42"/>
    </row>
    <row r="140" spans="1:8" s="35" customFormat="1" ht="88.05" customHeight="1" x14ac:dyDescent="0.25">
      <c r="A140" s="29" t="s">
        <v>178</v>
      </c>
      <c r="B140" s="25" t="s">
        <v>179</v>
      </c>
      <c r="C140" s="26"/>
      <c r="D140" s="34"/>
      <c r="E140" s="201"/>
      <c r="F140" s="42"/>
    </row>
    <row r="141" spans="1:8" s="35" customFormat="1" ht="58.5" customHeight="1" x14ac:dyDescent="0.25">
      <c r="A141" s="29" t="s">
        <v>180</v>
      </c>
      <c r="B141" s="25" t="s">
        <v>181</v>
      </c>
      <c r="C141" s="26"/>
      <c r="D141" s="34"/>
      <c r="E141" s="201"/>
      <c r="F141" s="42"/>
    </row>
    <row r="142" spans="1:8" ht="27.6" x14ac:dyDescent="0.25">
      <c r="A142" s="21" t="s">
        <v>182</v>
      </c>
      <c r="B142" s="22" t="s">
        <v>183</v>
      </c>
      <c r="C142" s="23"/>
      <c r="D142" s="18"/>
      <c r="E142" s="197"/>
      <c r="F142" s="41"/>
      <c r="G142" s="12"/>
      <c r="H142" s="12">
        <f>35.04*10.76</f>
        <v>377.03039999999999</v>
      </c>
    </row>
    <row r="143" spans="1:8" x14ac:dyDescent="0.25">
      <c r="A143" s="21" t="s">
        <v>441</v>
      </c>
      <c r="B143" s="22" t="s">
        <v>108</v>
      </c>
      <c r="C143" s="23"/>
      <c r="D143" s="18" t="s">
        <v>129</v>
      </c>
      <c r="E143" s="197">
        <v>3725</v>
      </c>
      <c r="F143" s="41">
        <f t="shared" ref="F143:F145" si="8">C143*E143</f>
        <v>0</v>
      </c>
      <c r="G143" s="12"/>
      <c r="H143" s="12"/>
    </row>
    <row r="144" spans="1:8" x14ac:dyDescent="0.25">
      <c r="A144" s="21" t="s">
        <v>442</v>
      </c>
      <c r="B144" s="22" t="s">
        <v>102</v>
      </c>
      <c r="C144" s="23"/>
      <c r="D144" s="18" t="s">
        <v>129</v>
      </c>
      <c r="E144" s="197">
        <v>3725</v>
      </c>
      <c r="F144" s="41">
        <f t="shared" si="8"/>
        <v>0</v>
      </c>
      <c r="G144" s="12"/>
      <c r="H144" s="12">
        <f>+C144*10.76</f>
        <v>0</v>
      </c>
    </row>
    <row r="145" spans="1:9" x14ac:dyDescent="0.25">
      <c r="A145" s="21" t="s">
        <v>443</v>
      </c>
      <c r="B145" s="22" t="s">
        <v>113</v>
      </c>
      <c r="C145" s="23"/>
      <c r="D145" s="18" t="s">
        <v>129</v>
      </c>
      <c r="E145" s="197">
        <v>3725</v>
      </c>
      <c r="F145" s="41">
        <f t="shared" si="8"/>
        <v>0</v>
      </c>
      <c r="G145" s="12"/>
      <c r="H145" s="12">
        <f>+C145*10.76</f>
        <v>0</v>
      </c>
    </row>
    <row r="146" spans="1:9" x14ac:dyDescent="0.25">
      <c r="A146" s="21"/>
      <c r="B146" s="22"/>
      <c r="C146" s="23"/>
      <c r="D146" s="18"/>
      <c r="E146" s="197"/>
      <c r="F146" s="41"/>
      <c r="G146" s="12"/>
      <c r="H146" s="12"/>
    </row>
    <row r="147" spans="1:9" ht="38.1" customHeight="1" x14ac:dyDescent="0.25">
      <c r="A147" s="21" t="s">
        <v>184</v>
      </c>
      <c r="B147" s="22" t="s">
        <v>185</v>
      </c>
      <c r="C147" s="23"/>
      <c r="D147" s="18" t="s">
        <v>129</v>
      </c>
      <c r="E147" s="197">
        <v>13385</v>
      </c>
      <c r="F147" s="41">
        <f t="shared" ref="F147" si="9">C147*E147</f>
        <v>0</v>
      </c>
      <c r="H147" s="24">
        <f>105.5*10.76</f>
        <v>1135.18</v>
      </c>
    </row>
    <row r="148" spans="1:9" x14ac:dyDescent="0.25">
      <c r="A148" s="21"/>
      <c r="B148" s="22"/>
      <c r="C148" s="23"/>
      <c r="D148" s="18"/>
      <c r="E148" s="197"/>
      <c r="F148" s="41"/>
    </row>
    <row r="149" spans="1:9" ht="22.5" customHeight="1" x14ac:dyDescent="0.25">
      <c r="A149" s="21" t="s">
        <v>186</v>
      </c>
      <c r="B149" s="22" t="s">
        <v>132</v>
      </c>
      <c r="C149" s="23"/>
      <c r="D149" s="18"/>
      <c r="E149" s="197"/>
      <c r="F149" s="41"/>
    </row>
    <row r="150" spans="1:9" x14ac:dyDescent="0.25">
      <c r="A150" s="21"/>
      <c r="B150" s="22" t="s">
        <v>348</v>
      </c>
      <c r="C150" s="23"/>
      <c r="D150" s="18" t="s">
        <v>129</v>
      </c>
      <c r="E150" s="197">
        <v>15850</v>
      </c>
      <c r="F150" s="41">
        <f t="shared" ref="F150:F154" si="10">C150*E150</f>
        <v>0</v>
      </c>
      <c r="H150" s="24">
        <f>24.47*10.76</f>
        <v>263.29719999999998</v>
      </c>
    </row>
    <row r="151" spans="1:9" x14ac:dyDescent="0.25">
      <c r="A151" s="21" t="s">
        <v>445</v>
      </c>
      <c r="B151" s="22" t="s">
        <v>48</v>
      </c>
      <c r="C151" s="23"/>
      <c r="D151" s="18" t="s">
        <v>129</v>
      </c>
      <c r="E151" s="197">
        <f>+E150*1.03</f>
        <v>16325.5</v>
      </c>
      <c r="F151" s="41">
        <f t="shared" si="10"/>
        <v>0</v>
      </c>
      <c r="H151" s="24">
        <f>+C151*10.76</f>
        <v>0</v>
      </c>
      <c r="I151" s="24">
        <v>1005.522</v>
      </c>
    </row>
    <row r="152" spans="1:9" x14ac:dyDescent="0.25">
      <c r="A152" s="21" t="s">
        <v>446</v>
      </c>
      <c r="B152" s="22" t="s">
        <v>49</v>
      </c>
      <c r="C152" s="23"/>
      <c r="D152" s="18" t="s">
        <v>129</v>
      </c>
      <c r="E152" s="197">
        <f>+E150*1.05</f>
        <v>16642.5</v>
      </c>
      <c r="F152" s="41">
        <f t="shared" si="10"/>
        <v>0</v>
      </c>
      <c r="H152" s="24">
        <f t="shared" ref="H152:H154" si="11">+C152*10.76</f>
        <v>0</v>
      </c>
      <c r="I152" s="24">
        <v>741.14879999999994</v>
      </c>
    </row>
    <row r="153" spans="1:9" x14ac:dyDescent="0.25">
      <c r="A153" s="21" t="s">
        <v>447</v>
      </c>
      <c r="B153" s="22" t="s">
        <v>109</v>
      </c>
      <c r="C153" s="23"/>
      <c r="D153" s="18" t="s">
        <v>129</v>
      </c>
      <c r="E153" s="197">
        <f>+E150*1.07</f>
        <v>16959.5</v>
      </c>
      <c r="F153" s="41">
        <f t="shared" si="10"/>
        <v>0</v>
      </c>
      <c r="H153" s="24">
        <f t="shared" si="11"/>
        <v>0</v>
      </c>
      <c r="I153" s="24">
        <v>529.39200000000005</v>
      </c>
    </row>
    <row r="154" spans="1:9" x14ac:dyDescent="0.25">
      <c r="A154" s="21" t="s">
        <v>448</v>
      </c>
      <c r="B154" s="22" t="s">
        <v>110</v>
      </c>
      <c r="C154" s="23"/>
      <c r="D154" s="18" t="s">
        <v>129</v>
      </c>
      <c r="E154" s="197">
        <f>+E150*1.1</f>
        <v>17435</v>
      </c>
      <c r="F154" s="41">
        <f t="shared" si="10"/>
        <v>0</v>
      </c>
      <c r="H154" s="24">
        <f t="shared" si="11"/>
        <v>0</v>
      </c>
      <c r="I154" s="24">
        <v>324.09120000000001</v>
      </c>
    </row>
    <row r="155" spans="1:9" x14ac:dyDescent="0.25">
      <c r="A155" s="21"/>
      <c r="B155" s="22"/>
      <c r="C155" s="23"/>
      <c r="D155" s="18"/>
      <c r="E155" s="197"/>
      <c r="F155" s="41"/>
    </row>
    <row r="156" spans="1:9" ht="38.1" customHeight="1" x14ac:dyDescent="0.25">
      <c r="A156" s="21" t="s">
        <v>444</v>
      </c>
      <c r="B156" s="22" t="s">
        <v>349</v>
      </c>
      <c r="C156" s="23"/>
      <c r="D156" s="18" t="s">
        <v>129</v>
      </c>
      <c r="E156" s="197"/>
      <c r="F156" s="41"/>
    </row>
    <row r="157" spans="1:9" x14ac:dyDescent="0.25">
      <c r="A157" s="21" t="s">
        <v>449</v>
      </c>
      <c r="B157" s="22" t="s">
        <v>52</v>
      </c>
      <c r="C157" s="23"/>
      <c r="D157" s="18" t="s">
        <v>129</v>
      </c>
      <c r="E157" s="197">
        <v>13600</v>
      </c>
      <c r="F157" s="41">
        <f t="shared" ref="F157:F160" si="12">C157*E157</f>
        <v>0</v>
      </c>
      <c r="H157" s="24">
        <f>+C157*10.76</f>
        <v>0</v>
      </c>
      <c r="I157" s="24">
        <v>25.46</v>
      </c>
    </row>
    <row r="158" spans="1:9" x14ac:dyDescent="0.25">
      <c r="A158" s="21" t="s">
        <v>450</v>
      </c>
      <c r="B158" s="22" t="s">
        <v>53</v>
      </c>
      <c r="C158" s="23"/>
      <c r="D158" s="18" t="s">
        <v>129</v>
      </c>
      <c r="E158" s="197">
        <f>+E157*1.03</f>
        <v>14008</v>
      </c>
      <c r="F158" s="41">
        <f t="shared" si="12"/>
        <v>0</v>
      </c>
      <c r="H158" s="24">
        <f t="shared" ref="H158:H160" si="13">+C158*10.76</f>
        <v>0</v>
      </c>
      <c r="I158" s="24">
        <v>25.46</v>
      </c>
    </row>
    <row r="159" spans="1:9" x14ac:dyDescent="0.25">
      <c r="A159" s="21" t="s">
        <v>451</v>
      </c>
      <c r="B159" s="22" t="s">
        <v>114</v>
      </c>
      <c r="C159" s="23"/>
      <c r="D159" s="18" t="s">
        <v>129</v>
      </c>
      <c r="E159" s="197">
        <f>+E157*1.05</f>
        <v>14280</v>
      </c>
      <c r="F159" s="41">
        <f t="shared" si="12"/>
        <v>0</v>
      </c>
      <c r="H159" s="24">
        <f t="shared" si="13"/>
        <v>0</v>
      </c>
      <c r="I159" s="24">
        <v>3.13</v>
      </c>
    </row>
    <row r="160" spans="1:9" x14ac:dyDescent="0.25">
      <c r="A160" s="21" t="s">
        <v>452</v>
      </c>
      <c r="B160" s="22" t="s">
        <v>115</v>
      </c>
      <c r="C160" s="23"/>
      <c r="D160" s="18" t="s">
        <v>129</v>
      </c>
      <c r="E160" s="197">
        <f>+E157*1.07</f>
        <v>14552</v>
      </c>
      <c r="F160" s="41">
        <f t="shared" si="12"/>
        <v>0</v>
      </c>
      <c r="H160" s="24">
        <f t="shared" si="13"/>
        <v>0</v>
      </c>
      <c r="I160" s="24">
        <v>3.13</v>
      </c>
    </row>
    <row r="161" spans="1:9" x14ac:dyDescent="0.25">
      <c r="A161" s="21"/>
      <c r="B161" s="22"/>
      <c r="C161" s="23"/>
      <c r="D161" s="18"/>
      <c r="E161" s="197"/>
      <c r="F161" s="41"/>
    </row>
    <row r="162" spans="1:9" x14ac:dyDescent="0.25">
      <c r="A162" s="21"/>
      <c r="B162" s="22"/>
      <c r="C162" s="23"/>
      <c r="D162" s="18"/>
      <c r="E162" s="197"/>
      <c r="F162" s="41"/>
    </row>
    <row r="163" spans="1:9" ht="55.2" x14ac:dyDescent="0.25">
      <c r="A163" s="21" t="s">
        <v>187</v>
      </c>
      <c r="B163" s="22" t="s">
        <v>350</v>
      </c>
      <c r="C163" s="23"/>
      <c r="D163" s="18"/>
      <c r="E163" s="197"/>
      <c r="F163" s="41"/>
    </row>
    <row r="164" spans="1:9" x14ac:dyDescent="0.25">
      <c r="A164" s="21" t="s">
        <v>454</v>
      </c>
      <c r="B164" s="22" t="s">
        <v>50</v>
      </c>
      <c r="C164" s="23"/>
      <c r="D164" s="18" t="s">
        <v>129</v>
      </c>
      <c r="E164" s="197">
        <v>18735</v>
      </c>
      <c r="F164" s="41">
        <f t="shared" ref="F164:F167" si="14">C164*E164</f>
        <v>0</v>
      </c>
      <c r="H164" s="24">
        <f>+C164*10.76</f>
        <v>0</v>
      </c>
      <c r="I164" s="24">
        <v>1535.5596</v>
      </c>
    </row>
    <row r="165" spans="1:9" x14ac:dyDescent="0.25">
      <c r="A165" s="21" t="s">
        <v>455</v>
      </c>
      <c r="B165" s="22" t="s">
        <v>51</v>
      </c>
      <c r="C165" s="23"/>
      <c r="D165" s="18" t="s">
        <v>129</v>
      </c>
      <c r="E165" s="197">
        <f>+E164*1.03</f>
        <v>19297.05</v>
      </c>
      <c r="F165" s="41">
        <f t="shared" si="14"/>
        <v>0</v>
      </c>
      <c r="H165" s="24">
        <f t="shared" ref="H165:H167" si="15">+C165*10.76</f>
        <v>0</v>
      </c>
      <c r="I165" s="24">
        <v>1321.328</v>
      </c>
    </row>
    <row r="166" spans="1:9" x14ac:dyDescent="0.25">
      <c r="A166" s="21" t="s">
        <v>456</v>
      </c>
      <c r="B166" s="22" t="s">
        <v>111</v>
      </c>
      <c r="C166" s="23"/>
      <c r="D166" s="18" t="s">
        <v>129</v>
      </c>
      <c r="E166" s="197">
        <f>+E164*1.05</f>
        <v>19671.75</v>
      </c>
      <c r="F166" s="41">
        <f t="shared" si="14"/>
        <v>0</v>
      </c>
      <c r="H166" s="24">
        <f t="shared" si="15"/>
        <v>0</v>
      </c>
      <c r="I166" s="24">
        <v>724.79359999999997</v>
      </c>
    </row>
    <row r="167" spans="1:9" x14ac:dyDescent="0.25">
      <c r="A167" s="21" t="s">
        <v>457</v>
      </c>
      <c r="B167" s="22" t="s">
        <v>112</v>
      </c>
      <c r="C167" s="23"/>
      <c r="D167" s="18" t="s">
        <v>129</v>
      </c>
      <c r="E167" s="197">
        <f>+E164*1.07</f>
        <v>20046.45</v>
      </c>
      <c r="F167" s="41">
        <f t="shared" si="14"/>
        <v>0</v>
      </c>
      <c r="H167" s="24">
        <f t="shared" si="15"/>
        <v>0</v>
      </c>
      <c r="I167" s="24">
        <v>262.9744</v>
      </c>
    </row>
    <row r="168" spans="1:9" x14ac:dyDescent="0.25">
      <c r="A168" s="21"/>
      <c r="B168" s="22"/>
      <c r="C168" s="23"/>
      <c r="D168" s="18"/>
      <c r="E168" s="197"/>
      <c r="F168" s="41"/>
    </row>
    <row r="169" spans="1:9" s="12" customFormat="1" ht="28.05" customHeight="1" x14ac:dyDescent="0.25">
      <c r="A169" s="15"/>
      <c r="B169" s="25" t="s">
        <v>188</v>
      </c>
      <c r="C169" s="26"/>
      <c r="D169" s="18"/>
      <c r="E169" s="197"/>
      <c r="F169" s="41"/>
    </row>
    <row r="170" spans="1:9" s="12" customFormat="1" ht="71.25" customHeight="1" x14ac:dyDescent="0.25">
      <c r="A170" s="15"/>
      <c r="B170" s="25" t="s">
        <v>189</v>
      </c>
      <c r="C170" s="26"/>
      <c r="D170" s="18"/>
      <c r="E170" s="197"/>
      <c r="F170" s="41"/>
    </row>
    <row r="171" spans="1:9" ht="38.1" customHeight="1" x14ac:dyDescent="0.25">
      <c r="A171" s="21" t="s">
        <v>453</v>
      </c>
      <c r="B171" s="22" t="s">
        <v>190</v>
      </c>
      <c r="C171" s="23"/>
      <c r="D171" s="18"/>
      <c r="E171" s="197"/>
      <c r="F171" s="41"/>
    </row>
    <row r="172" spans="1:9" x14ac:dyDescent="0.25">
      <c r="A172" s="21" t="s">
        <v>458</v>
      </c>
      <c r="B172" s="22" t="s">
        <v>351</v>
      </c>
      <c r="C172" s="23"/>
      <c r="D172" s="18" t="s">
        <v>129</v>
      </c>
      <c r="E172" s="197">
        <v>3700</v>
      </c>
      <c r="F172" s="41">
        <f>C172*E172</f>
        <v>0</v>
      </c>
    </row>
    <row r="173" spans="1:9" x14ac:dyDescent="0.25">
      <c r="A173" s="21" t="s">
        <v>459</v>
      </c>
      <c r="B173" s="22" t="s">
        <v>54</v>
      </c>
      <c r="C173" s="23"/>
      <c r="D173" s="18" t="s">
        <v>129</v>
      </c>
      <c r="E173" s="197">
        <f>+E172*1.03</f>
        <v>3811</v>
      </c>
      <c r="F173" s="41">
        <f t="shared" ref="F173:F174" si="16">C173*E173</f>
        <v>0</v>
      </c>
      <c r="H173" s="24" t="e">
        <f>+#REF!*10.76</f>
        <v>#REF!</v>
      </c>
      <c r="I173" s="24">
        <v>399.5188</v>
      </c>
    </row>
    <row r="174" spans="1:9" x14ac:dyDescent="0.25">
      <c r="A174" s="21" t="s">
        <v>460</v>
      </c>
      <c r="B174" s="22" t="s">
        <v>55</v>
      </c>
      <c r="C174" s="23"/>
      <c r="D174" s="18" t="s">
        <v>129</v>
      </c>
      <c r="E174" s="197">
        <f>+E172*1.05</f>
        <v>3885</v>
      </c>
      <c r="F174" s="41">
        <f t="shared" si="16"/>
        <v>0</v>
      </c>
      <c r="H174" s="24" t="e">
        <f>+#REF!*10.76</f>
        <v>#REF!</v>
      </c>
      <c r="I174" s="24">
        <v>399.5188</v>
      </c>
    </row>
    <row r="175" spans="1:9" x14ac:dyDescent="0.25">
      <c r="A175" s="18"/>
      <c r="B175" s="22"/>
      <c r="C175" s="23"/>
      <c r="D175" s="18"/>
      <c r="E175" s="197"/>
      <c r="F175" s="41"/>
    </row>
    <row r="176" spans="1:9" x14ac:dyDescent="0.25">
      <c r="A176" s="18"/>
      <c r="B176" s="22"/>
      <c r="C176" s="23"/>
      <c r="D176" s="18"/>
      <c r="E176" s="197"/>
      <c r="F176" s="41"/>
    </row>
    <row r="177" spans="1:6" x14ac:dyDescent="0.25">
      <c r="A177" s="18"/>
      <c r="B177" s="22"/>
      <c r="C177" s="23"/>
      <c r="D177" s="18"/>
      <c r="E177" s="197"/>
      <c r="F177" s="41"/>
    </row>
    <row r="178" spans="1:6" x14ac:dyDescent="0.25">
      <c r="A178" s="18"/>
      <c r="B178" s="22"/>
      <c r="C178" s="23"/>
      <c r="D178" s="18"/>
      <c r="E178" s="197"/>
      <c r="F178" s="41"/>
    </row>
    <row r="179" spans="1:6" s="12" customFormat="1" x14ac:dyDescent="0.25">
      <c r="A179" s="102"/>
      <c r="B179" s="103" t="s">
        <v>46</v>
      </c>
      <c r="C179" s="104"/>
      <c r="D179" s="105"/>
      <c r="E179" s="199"/>
      <c r="F179" s="106">
        <f>SUM(F142:F177)</f>
        <v>0</v>
      </c>
    </row>
    <row r="180" spans="1:6" s="12" customFormat="1" ht="28.05" customHeight="1" x14ac:dyDescent="0.25">
      <c r="A180" s="15"/>
      <c r="B180" s="32" t="s">
        <v>191</v>
      </c>
      <c r="C180" s="33"/>
      <c r="D180" s="18"/>
      <c r="E180" s="197"/>
      <c r="F180" s="41"/>
    </row>
    <row r="181" spans="1:6" ht="55.05" customHeight="1" x14ac:dyDescent="0.25">
      <c r="A181" s="21" t="s">
        <v>192</v>
      </c>
      <c r="B181" s="22" t="s">
        <v>352</v>
      </c>
      <c r="C181" s="23"/>
      <c r="D181" s="18"/>
      <c r="E181" s="197"/>
      <c r="F181" s="41"/>
    </row>
    <row r="182" spans="1:6" x14ac:dyDescent="0.25">
      <c r="A182" s="18" t="s">
        <v>461</v>
      </c>
      <c r="B182" s="22" t="s">
        <v>98</v>
      </c>
      <c r="C182" s="23"/>
      <c r="D182" s="18" t="s">
        <v>134</v>
      </c>
      <c r="E182" s="197">
        <v>192</v>
      </c>
      <c r="F182" s="41">
        <f>+C182*E182</f>
        <v>0</v>
      </c>
    </row>
    <row r="183" spans="1:6" x14ac:dyDescent="0.25">
      <c r="A183" s="18" t="s">
        <v>462</v>
      </c>
      <c r="B183" s="22" t="s">
        <v>99</v>
      </c>
      <c r="C183" s="23"/>
      <c r="D183" s="18" t="s">
        <v>134</v>
      </c>
      <c r="E183" s="197">
        <v>192</v>
      </c>
      <c r="F183" s="41">
        <f>+C183*E183</f>
        <v>0</v>
      </c>
    </row>
    <row r="184" spans="1:6" x14ac:dyDescent="0.25">
      <c r="A184" s="21"/>
      <c r="B184" s="22"/>
      <c r="C184" s="23"/>
      <c r="D184" s="18"/>
      <c r="E184" s="197"/>
      <c r="F184" s="41"/>
    </row>
    <row r="185" spans="1:6" ht="41.4" x14ac:dyDescent="0.25">
      <c r="A185" s="21" t="s">
        <v>193</v>
      </c>
      <c r="B185" s="22" t="s">
        <v>133</v>
      </c>
      <c r="C185" s="23"/>
      <c r="D185" s="18"/>
      <c r="E185" s="197"/>
      <c r="F185" s="41"/>
    </row>
    <row r="186" spans="1:6" x14ac:dyDescent="0.25">
      <c r="A186" s="18" t="s">
        <v>463</v>
      </c>
      <c r="B186" s="22" t="s">
        <v>98</v>
      </c>
      <c r="C186" s="23"/>
      <c r="D186" s="18" t="s">
        <v>134</v>
      </c>
      <c r="E186" s="197">
        <v>192</v>
      </c>
      <c r="F186" s="41">
        <f>+C186*E186</f>
        <v>0</v>
      </c>
    </row>
    <row r="187" spans="1:6" x14ac:dyDescent="0.25">
      <c r="A187" s="18" t="s">
        <v>464</v>
      </c>
      <c r="B187" s="22" t="s">
        <v>354</v>
      </c>
      <c r="C187" s="23"/>
      <c r="D187" s="18" t="s">
        <v>134</v>
      </c>
      <c r="E187" s="197">
        <v>192</v>
      </c>
      <c r="F187" s="41">
        <f>+C187*E187</f>
        <v>0</v>
      </c>
    </row>
    <row r="188" spans="1:6" x14ac:dyDescent="0.25">
      <c r="A188" s="21"/>
      <c r="B188" s="22"/>
      <c r="C188" s="23"/>
      <c r="D188" s="18"/>
      <c r="E188" s="197"/>
      <c r="F188" s="41"/>
    </row>
    <row r="189" spans="1:6" ht="55.05" customHeight="1" x14ac:dyDescent="0.25">
      <c r="A189" s="21" t="s">
        <v>195</v>
      </c>
      <c r="B189" s="22" t="s">
        <v>194</v>
      </c>
      <c r="C189" s="23"/>
      <c r="D189" s="18"/>
      <c r="E189" s="197"/>
      <c r="F189" s="41"/>
    </row>
    <row r="190" spans="1:6" x14ac:dyDescent="0.25">
      <c r="A190" s="21" t="s">
        <v>465</v>
      </c>
      <c r="B190" s="22" t="s">
        <v>98</v>
      </c>
      <c r="C190" s="23"/>
      <c r="D190" s="18" t="s">
        <v>134</v>
      </c>
      <c r="E190" s="197">
        <v>198</v>
      </c>
      <c r="F190" s="41">
        <f>+C190*E190</f>
        <v>0</v>
      </c>
    </row>
    <row r="191" spans="1:6" x14ac:dyDescent="0.25">
      <c r="A191" s="21" t="s">
        <v>466</v>
      </c>
      <c r="B191" s="22" t="s">
        <v>354</v>
      </c>
      <c r="C191" s="23"/>
      <c r="D191" s="18" t="s">
        <v>134</v>
      </c>
      <c r="E191" s="197">
        <v>198</v>
      </c>
      <c r="F191" s="41">
        <f>+C191*E191</f>
        <v>0</v>
      </c>
    </row>
    <row r="192" spans="1:6" x14ac:dyDescent="0.25">
      <c r="A192" s="21"/>
      <c r="B192" s="22"/>
      <c r="C192" s="23"/>
      <c r="D192" s="18"/>
      <c r="E192" s="197"/>
      <c r="F192" s="41"/>
    </row>
    <row r="193" spans="1:6" ht="55.05" customHeight="1" x14ac:dyDescent="0.25">
      <c r="A193" s="21" t="s">
        <v>197</v>
      </c>
      <c r="B193" s="22" t="s">
        <v>196</v>
      </c>
      <c r="C193" s="23"/>
      <c r="D193" s="18"/>
      <c r="E193" s="197"/>
      <c r="F193" s="41"/>
    </row>
    <row r="194" spans="1:6" x14ac:dyDescent="0.25">
      <c r="A194" s="21" t="s">
        <v>467</v>
      </c>
      <c r="B194" s="22" t="s">
        <v>98</v>
      </c>
      <c r="C194" s="23"/>
      <c r="D194" s="18" t="s">
        <v>134</v>
      </c>
      <c r="E194" s="197">
        <v>202</v>
      </c>
      <c r="F194" s="41">
        <f>+C194*E194</f>
        <v>0</v>
      </c>
    </row>
    <row r="195" spans="1:6" x14ac:dyDescent="0.25">
      <c r="A195" s="21" t="s">
        <v>468</v>
      </c>
      <c r="B195" s="22" t="s">
        <v>354</v>
      </c>
      <c r="C195" s="23"/>
      <c r="D195" s="18" t="s">
        <v>134</v>
      </c>
      <c r="E195" s="197">
        <v>202</v>
      </c>
      <c r="F195" s="41">
        <f>+C195*E195</f>
        <v>0</v>
      </c>
    </row>
    <row r="196" spans="1:6" x14ac:dyDescent="0.25">
      <c r="A196" s="21"/>
      <c r="B196" s="22"/>
      <c r="C196" s="23"/>
      <c r="D196" s="18"/>
      <c r="E196" s="197"/>
      <c r="F196" s="41"/>
    </row>
    <row r="197" spans="1:6" ht="41.4" x14ac:dyDescent="0.25">
      <c r="A197" s="21" t="s">
        <v>198</v>
      </c>
      <c r="B197" s="22" t="s">
        <v>357</v>
      </c>
      <c r="C197" s="23"/>
      <c r="D197" s="18"/>
      <c r="E197" s="197"/>
      <c r="F197" s="41"/>
    </row>
    <row r="198" spans="1:6" x14ac:dyDescent="0.25">
      <c r="A198" s="21" t="s">
        <v>469</v>
      </c>
      <c r="B198" s="22" t="s">
        <v>98</v>
      </c>
      <c r="C198" s="23"/>
      <c r="D198" s="18" t="s">
        <v>134</v>
      </c>
      <c r="E198" s="197">
        <v>208</v>
      </c>
      <c r="F198" s="41">
        <f>+C198*E198</f>
        <v>0</v>
      </c>
    </row>
    <row r="199" spans="1:6" x14ac:dyDescent="0.25">
      <c r="A199" s="21" t="s">
        <v>470</v>
      </c>
      <c r="B199" s="22" t="s">
        <v>354</v>
      </c>
      <c r="C199" s="23"/>
      <c r="D199" s="18" t="s">
        <v>134</v>
      </c>
      <c r="E199" s="197">
        <v>208</v>
      </c>
      <c r="F199" s="41">
        <f>+C199*E199</f>
        <v>0</v>
      </c>
    </row>
    <row r="200" spans="1:6" x14ac:dyDescent="0.25">
      <c r="A200" s="21"/>
      <c r="B200" s="22"/>
      <c r="C200" s="23"/>
      <c r="D200" s="18"/>
      <c r="E200" s="197"/>
      <c r="F200" s="41"/>
    </row>
    <row r="201" spans="1:6" ht="55.05" customHeight="1" x14ac:dyDescent="0.25">
      <c r="A201" s="21" t="s">
        <v>200</v>
      </c>
      <c r="B201" s="22" t="s">
        <v>353</v>
      </c>
      <c r="C201" s="23"/>
      <c r="D201" s="18" t="s">
        <v>134</v>
      </c>
      <c r="E201" s="197">
        <v>164</v>
      </c>
      <c r="F201" s="41"/>
    </row>
    <row r="202" spans="1:6" x14ac:dyDescent="0.25">
      <c r="A202" s="18" t="s">
        <v>471</v>
      </c>
      <c r="B202" s="22" t="s">
        <v>108</v>
      </c>
      <c r="C202" s="23"/>
      <c r="D202" s="18" t="s">
        <v>134</v>
      </c>
      <c r="E202" s="197">
        <v>204</v>
      </c>
      <c r="F202" s="41">
        <f>+C202*E202</f>
        <v>0</v>
      </c>
    </row>
    <row r="203" spans="1:6" x14ac:dyDescent="0.25">
      <c r="A203" s="18" t="s">
        <v>472</v>
      </c>
      <c r="B203" s="22" t="s">
        <v>98</v>
      </c>
      <c r="C203" s="23"/>
      <c r="D203" s="18" t="s">
        <v>134</v>
      </c>
      <c r="E203" s="197">
        <v>204</v>
      </c>
      <c r="F203" s="41">
        <f>+C203*E203</f>
        <v>0</v>
      </c>
    </row>
    <row r="204" spans="1:6" x14ac:dyDescent="0.25">
      <c r="A204" s="18" t="s">
        <v>473</v>
      </c>
      <c r="B204" s="22" t="s">
        <v>99</v>
      </c>
      <c r="C204" s="23"/>
      <c r="D204" s="18" t="s">
        <v>134</v>
      </c>
      <c r="E204" s="197">
        <v>204</v>
      </c>
      <c r="F204" s="41">
        <f t="shared" ref="F204:F205" si="17">+C204*E204</f>
        <v>0</v>
      </c>
    </row>
    <row r="205" spans="1:6" x14ac:dyDescent="0.25">
      <c r="A205" s="18" t="s">
        <v>474</v>
      </c>
      <c r="B205" s="22" t="s">
        <v>100</v>
      </c>
      <c r="C205" s="23"/>
      <c r="D205" s="18" t="s">
        <v>134</v>
      </c>
      <c r="E205" s="197">
        <v>204</v>
      </c>
      <c r="F205" s="41">
        <f t="shared" si="17"/>
        <v>0</v>
      </c>
    </row>
    <row r="206" spans="1:6" x14ac:dyDescent="0.25">
      <c r="A206" s="21"/>
      <c r="B206" s="22"/>
      <c r="C206" s="23"/>
      <c r="D206" s="18"/>
      <c r="E206" s="197"/>
      <c r="F206" s="41"/>
    </row>
    <row r="207" spans="1:6" ht="41.4" x14ac:dyDescent="0.25">
      <c r="A207" s="21" t="s">
        <v>475</v>
      </c>
      <c r="B207" s="22" t="s">
        <v>135</v>
      </c>
      <c r="C207" s="23"/>
      <c r="D207" s="18"/>
      <c r="E207" s="197"/>
      <c r="F207" s="41"/>
    </row>
    <row r="208" spans="1:6" x14ac:dyDescent="0.25">
      <c r="A208" s="21" t="s">
        <v>476</v>
      </c>
      <c r="B208" s="22" t="s">
        <v>98</v>
      </c>
      <c r="C208" s="23"/>
      <c r="D208" s="18" t="s">
        <v>134</v>
      </c>
      <c r="E208" s="197">
        <v>204</v>
      </c>
      <c r="F208" s="41">
        <f>+C208*E208</f>
        <v>0</v>
      </c>
    </row>
    <row r="209" spans="1:6" x14ac:dyDescent="0.25">
      <c r="A209" s="21" t="s">
        <v>478</v>
      </c>
      <c r="B209" s="22" t="s">
        <v>354</v>
      </c>
      <c r="C209" s="23"/>
      <c r="D209" s="18" t="s">
        <v>134</v>
      </c>
      <c r="E209" s="197">
        <v>204</v>
      </c>
      <c r="F209" s="41">
        <f>+C209*E209</f>
        <v>0</v>
      </c>
    </row>
    <row r="210" spans="1:6" x14ac:dyDescent="0.25">
      <c r="A210" s="21" t="s">
        <v>477</v>
      </c>
      <c r="B210" s="22" t="s">
        <v>355</v>
      </c>
      <c r="C210" s="23"/>
      <c r="D210" s="18" t="s">
        <v>134</v>
      </c>
      <c r="E210" s="197">
        <v>204</v>
      </c>
      <c r="F210" s="41">
        <f t="shared" ref="F210:F211" si="18">+C210*E210</f>
        <v>0</v>
      </c>
    </row>
    <row r="211" spans="1:6" x14ac:dyDescent="0.25">
      <c r="A211" s="21" t="s">
        <v>479</v>
      </c>
      <c r="B211" s="22" t="s">
        <v>356</v>
      </c>
      <c r="C211" s="23"/>
      <c r="D211" s="18" t="s">
        <v>134</v>
      </c>
      <c r="E211" s="197">
        <v>204</v>
      </c>
      <c r="F211" s="41">
        <f t="shared" si="18"/>
        <v>0</v>
      </c>
    </row>
    <row r="212" spans="1:6" x14ac:dyDescent="0.25">
      <c r="A212" s="21"/>
      <c r="B212" s="22"/>
      <c r="C212" s="23"/>
      <c r="D212" s="18"/>
      <c r="E212" s="197"/>
      <c r="F212" s="41"/>
    </row>
    <row r="213" spans="1:6" ht="55.05" customHeight="1" x14ac:dyDescent="0.25">
      <c r="A213" s="21" t="s">
        <v>480</v>
      </c>
      <c r="B213" s="22" t="s">
        <v>199</v>
      </c>
      <c r="C213" s="23"/>
      <c r="D213" s="18"/>
      <c r="E213" s="197"/>
      <c r="F213" s="41"/>
    </row>
    <row r="214" spans="1:6" x14ac:dyDescent="0.25">
      <c r="A214" s="21" t="s">
        <v>481</v>
      </c>
      <c r="B214" s="22" t="s">
        <v>98</v>
      </c>
      <c r="C214" s="23"/>
      <c r="D214" s="18" t="s">
        <v>134</v>
      </c>
      <c r="E214" s="197">
        <v>210</v>
      </c>
      <c r="F214" s="41">
        <f>+C214*E214</f>
        <v>0</v>
      </c>
    </row>
    <row r="215" spans="1:6" x14ac:dyDescent="0.25">
      <c r="A215" s="21" t="s">
        <v>482</v>
      </c>
      <c r="B215" s="22" t="s">
        <v>354</v>
      </c>
      <c r="C215" s="23"/>
      <c r="D215" s="18" t="s">
        <v>134</v>
      </c>
      <c r="E215" s="197">
        <v>210</v>
      </c>
      <c r="F215" s="41">
        <f>+C215*E215</f>
        <v>0</v>
      </c>
    </row>
    <row r="216" spans="1:6" x14ac:dyDescent="0.25">
      <c r="A216" s="21" t="s">
        <v>483</v>
      </c>
      <c r="B216" s="22" t="s">
        <v>355</v>
      </c>
      <c r="C216" s="23"/>
      <c r="D216" s="18" t="s">
        <v>134</v>
      </c>
      <c r="E216" s="197">
        <v>210</v>
      </c>
      <c r="F216" s="41">
        <f t="shared" ref="F216:F217" si="19">+C216*E216</f>
        <v>0</v>
      </c>
    </row>
    <row r="217" spans="1:6" x14ac:dyDescent="0.25">
      <c r="A217" s="21" t="s">
        <v>484</v>
      </c>
      <c r="B217" s="22" t="s">
        <v>356</v>
      </c>
      <c r="C217" s="23"/>
      <c r="D217" s="18" t="s">
        <v>134</v>
      </c>
      <c r="E217" s="197">
        <v>210</v>
      </c>
      <c r="F217" s="41">
        <f t="shared" si="19"/>
        <v>0</v>
      </c>
    </row>
    <row r="218" spans="1:6" x14ac:dyDescent="0.25">
      <c r="A218" s="21"/>
      <c r="B218" s="22"/>
      <c r="C218" s="23"/>
      <c r="D218" s="18"/>
      <c r="E218" s="197"/>
      <c r="F218" s="41"/>
    </row>
    <row r="219" spans="1:6" ht="55.05" customHeight="1" x14ac:dyDescent="0.25">
      <c r="A219" s="21" t="s">
        <v>485</v>
      </c>
      <c r="B219" s="22" t="s">
        <v>201</v>
      </c>
      <c r="C219" s="23"/>
      <c r="D219" s="18"/>
      <c r="E219" s="197"/>
      <c r="F219" s="41"/>
    </row>
    <row r="220" spans="1:6" x14ac:dyDescent="0.25">
      <c r="A220" s="21" t="s">
        <v>486</v>
      </c>
      <c r="B220" s="22" t="s">
        <v>98</v>
      </c>
      <c r="C220" s="23"/>
      <c r="D220" s="18" t="s">
        <v>134</v>
      </c>
      <c r="E220" s="197">
        <v>210</v>
      </c>
      <c r="F220" s="41">
        <f>+C220*E220</f>
        <v>0</v>
      </c>
    </row>
    <row r="221" spans="1:6" x14ac:dyDescent="0.25">
      <c r="A221" s="21" t="s">
        <v>487</v>
      </c>
      <c r="B221" s="22" t="s">
        <v>354</v>
      </c>
      <c r="C221" s="23"/>
      <c r="D221" s="18" t="s">
        <v>134</v>
      </c>
      <c r="E221" s="197">
        <v>210</v>
      </c>
      <c r="F221" s="41">
        <f>+C221*E221</f>
        <v>0</v>
      </c>
    </row>
    <row r="222" spans="1:6" x14ac:dyDescent="0.25">
      <c r="A222" s="21" t="s">
        <v>488</v>
      </c>
      <c r="B222" s="22" t="s">
        <v>355</v>
      </c>
      <c r="C222" s="23"/>
      <c r="D222" s="18" t="s">
        <v>134</v>
      </c>
      <c r="E222" s="197">
        <v>210</v>
      </c>
      <c r="F222" s="41">
        <f t="shared" ref="F222" si="20">+C222*E222</f>
        <v>0</v>
      </c>
    </row>
    <row r="223" spans="1:6" x14ac:dyDescent="0.25">
      <c r="A223" s="21"/>
      <c r="B223" s="22"/>
      <c r="C223" s="23"/>
      <c r="D223" s="18"/>
      <c r="E223" s="197"/>
      <c r="F223" s="41"/>
    </row>
    <row r="224" spans="1:6" ht="41.4" x14ac:dyDescent="0.25">
      <c r="A224" s="21" t="s">
        <v>489</v>
      </c>
      <c r="B224" s="22" t="s">
        <v>358</v>
      </c>
      <c r="C224" s="23"/>
      <c r="D224" s="18"/>
      <c r="E224" s="197"/>
      <c r="F224" s="41"/>
    </row>
    <row r="225" spans="1:6" x14ac:dyDescent="0.25">
      <c r="A225" s="21" t="s">
        <v>490</v>
      </c>
      <c r="B225" s="22" t="s">
        <v>98</v>
      </c>
      <c r="C225" s="23"/>
      <c r="D225" s="18" t="s">
        <v>134</v>
      </c>
      <c r="E225" s="197">
        <v>216</v>
      </c>
      <c r="F225" s="41">
        <f>+C225*E225</f>
        <v>0</v>
      </c>
    </row>
    <row r="226" spans="1:6" x14ac:dyDescent="0.25">
      <c r="A226" s="21" t="s">
        <v>491</v>
      </c>
      <c r="B226" s="22" t="s">
        <v>354</v>
      </c>
      <c r="C226" s="23"/>
      <c r="D226" s="18" t="s">
        <v>134</v>
      </c>
      <c r="E226" s="197">
        <v>216</v>
      </c>
      <c r="F226" s="41">
        <f>+C226*E226</f>
        <v>0</v>
      </c>
    </row>
    <row r="227" spans="1:6" x14ac:dyDescent="0.25">
      <c r="A227" s="21" t="s">
        <v>492</v>
      </c>
      <c r="B227" s="22" t="s">
        <v>355</v>
      </c>
      <c r="C227" s="23"/>
      <c r="D227" s="18" t="s">
        <v>134</v>
      </c>
      <c r="E227" s="197">
        <v>216</v>
      </c>
      <c r="F227" s="41">
        <f t="shared" ref="F227" si="21">+C227*E227</f>
        <v>0</v>
      </c>
    </row>
    <row r="228" spans="1:6" x14ac:dyDescent="0.25">
      <c r="A228" s="21"/>
      <c r="B228" s="22"/>
      <c r="C228" s="23"/>
      <c r="D228" s="18"/>
      <c r="E228" s="197"/>
      <c r="F228" s="41"/>
    </row>
    <row r="229" spans="1:6" x14ac:dyDescent="0.25">
      <c r="A229" s="21"/>
      <c r="B229" s="22"/>
      <c r="C229" s="23"/>
      <c r="D229" s="18"/>
      <c r="E229" s="197"/>
      <c r="F229" s="41"/>
    </row>
    <row r="230" spans="1:6" x14ac:dyDescent="0.25">
      <c r="A230" s="21"/>
      <c r="B230" s="22"/>
      <c r="C230" s="23"/>
      <c r="D230" s="18"/>
      <c r="E230" s="197"/>
      <c r="F230" s="41"/>
    </row>
    <row r="231" spans="1:6" s="12" customFormat="1" x14ac:dyDescent="0.25">
      <c r="A231" s="102"/>
      <c r="B231" s="103" t="s">
        <v>46</v>
      </c>
      <c r="C231" s="104"/>
      <c r="D231" s="105"/>
      <c r="E231" s="199"/>
      <c r="F231" s="106">
        <f>SUM(F181:F229)</f>
        <v>0</v>
      </c>
    </row>
    <row r="232" spans="1:6" s="12" customFormat="1" ht="28.05" customHeight="1" x14ac:dyDescent="0.25">
      <c r="A232" s="15"/>
      <c r="B232" s="32" t="s">
        <v>202</v>
      </c>
      <c r="C232" s="33"/>
      <c r="D232" s="18"/>
      <c r="E232" s="197"/>
      <c r="F232" s="41"/>
    </row>
    <row r="233" spans="1:6" ht="38.1" customHeight="1" x14ac:dyDescent="0.25">
      <c r="A233" s="21" t="s">
        <v>493</v>
      </c>
      <c r="B233" s="22" t="s">
        <v>204</v>
      </c>
      <c r="C233" s="23"/>
      <c r="D233" s="18" t="s">
        <v>131</v>
      </c>
      <c r="E233" s="197">
        <v>40650</v>
      </c>
      <c r="F233" s="41">
        <f t="shared" ref="F233:F235" si="22">+C233*E233</f>
        <v>0</v>
      </c>
    </row>
    <row r="234" spans="1:6" ht="37.799999999999997" customHeight="1" x14ac:dyDescent="0.25">
      <c r="A234" s="21" t="s">
        <v>203</v>
      </c>
      <c r="B234" s="22" t="s">
        <v>206</v>
      </c>
      <c r="C234" s="23"/>
      <c r="D234" s="18" t="s">
        <v>131</v>
      </c>
      <c r="E234" s="197">
        <v>42680</v>
      </c>
      <c r="F234" s="41">
        <f t="shared" si="22"/>
        <v>0</v>
      </c>
    </row>
    <row r="235" spans="1:6" ht="38.1" customHeight="1" x14ac:dyDescent="0.25">
      <c r="A235" s="21" t="s">
        <v>205</v>
      </c>
      <c r="B235" s="22" t="s">
        <v>207</v>
      </c>
      <c r="C235" s="23"/>
      <c r="D235" s="18" t="s">
        <v>131</v>
      </c>
      <c r="E235" s="197">
        <v>43500</v>
      </c>
      <c r="F235" s="41">
        <f t="shared" si="22"/>
        <v>0</v>
      </c>
    </row>
    <row r="236" spans="1:6" x14ac:dyDescent="0.25">
      <c r="A236" s="21"/>
      <c r="B236" s="22"/>
      <c r="C236" s="23"/>
      <c r="D236" s="18"/>
      <c r="E236" s="197"/>
      <c r="F236" s="41"/>
    </row>
    <row r="237" spans="1:6" x14ac:dyDescent="0.25">
      <c r="A237" s="21"/>
      <c r="B237" s="22"/>
      <c r="C237" s="23"/>
      <c r="D237" s="18"/>
      <c r="E237" s="197"/>
      <c r="F237" s="41"/>
    </row>
    <row r="238" spans="1:6" s="12" customFormat="1" x14ac:dyDescent="0.25">
      <c r="A238" s="102"/>
      <c r="B238" s="103" t="s">
        <v>46</v>
      </c>
      <c r="C238" s="104"/>
      <c r="D238" s="105"/>
      <c r="E238" s="199"/>
      <c r="F238" s="106">
        <f>SUM(F233:F237)</f>
        <v>0</v>
      </c>
    </row>
    <row r="239" spans="1:6" x14ac:dyDescent="0.25">
      <c r="A239" s="21"/>
      <c r="B239" s="22"/>
      <c r="C239" s="23"/>
      <c r="D239" s="18"/>
      <c r="E239" s="197"/>
      <c r="F239" s="41"/>
    </row>
    <row r="240" spans="1:6" s="12" customFormat="1" ht="28.05" customHeight="1" x14ac:dyDescent="0.25">
      <c r="A240" s="15"/>
      <c r="B240" s="32" t="s">
        <v>208</v>
      </c>
      <c r="C240" s="33"/>
      <c r="D240" s="18"/>
      <c r="E240" s="197"/>
      <c r="F240" s="41"/>
    </row>
    <row r="241" spans="1:9" ht="55.05" customHeight="1" x14ac:dyDescent="0.25">
      <c r="A241" s="21" t="s">
        <v>494</v>
      </c>
      <c r="B241" s="22" t="s">
        <v>359</v>
      </c>
      <c r="C241" s="23"/>
      <c r="D241" s="18"/>
      <c r="E241" s="197"/>
      <c r="F241" s="41"/>
    </row>
    <row r="242" spans="1:9" x14ac:dyDescent="0.25">
      <c r="A242" s="21" t="s">
        <v>495</v>
      </c>
      <c r="B242" s="22" t="s">
        <v>58</v>
      </c>
      <c r="C242" s="23"/>
      <c r="D242" s="18" t="s">
        <v>129</v>
      </c>
      <c r="E242" s="197">
        <v>20338.5</v>
      </c>
      <c r="F242" s="41">
        <f t="shared" ref="F242:F245" si="23">+C242*E242</f>
        <v>0</v>
      </c>
      <c r="H242" s="24">
        <f>+C242*10.76/100</f>
        <v>0</v>
      </c>
      <c r="I242" s="24">
        <v>9.7797640000000001</v>
      </c>
    </row>
    <row r="243" spans="1:9" x14ac:dyDescent="0.25">
      <c r="A243" s="21" t="s">
        <v>496</v>
      </c>
      <c r="B243" s="22" t="s">
        <v>59</v>
      </c>
      <c r="C243" s="23"/>
      <c r="D243" s="18" t="s">
        <v>129</v>
      </c>
      <c r="E243" s="197">
        <v>20725.900000000001</v>
      </c>
      <c r="F243" s="41">
        <f t="shared" si="23"/>
        <v>0</v>
      </c>
      <c r="H243" s="24">
        <f t="shared" ref="H243:H245" si="24">+C243*10.76/100</f>
        <v>0</v>
      </c>
      <c r="I243" s="24">
        <v>13.927744000000001</v>
      </c>
    </row>
    <row r="244" spans="1:9" x14ac:dyDescent="0.25">
      <c r="A244" s="21" t="s">
        <v>497</v>
      </c>
      <c r="B244" s="22" t="s">
        <v>116</v>
      </c>
      <c r="C244" s="23"/>
      <c r="D244" s="18" t="s">
        <v>129</v>
      </c>
      <c r="E244" s="197">
        <v>21307</v>
      </c>
      <c r="F244" s="41">
        <f t="shared" si="23"/>
        <v>0</v>
      </c>
      <c r="H244" s="24">
        <f t="shared" si="24"/>
        <v>0</v>
      </c>
      <c r="I244" s="24">
        <v>14.462515999999999</v>
      </c>
    </row>
    <row r="245" spans="1:9" x14ac:dyDescent="0.25">
      <c r="A245" s="21" t="s">
        <v>498</v>
      </c>
      <c r="B245" s="22" t="s">
        <v>117</v>
      </c>
      <c r="C245" s="23"/>
      <c r="D245" s="18" t="s">
        <v>129</v>
      </c>
      <c r="E245" s="197">
        <v>22275.5</v>
      </c>
      <c r="F245" s="41">
        <f t="shared" si="23"/>
        <v>0</v>
      </c>
      <c r="H245" s="24">
        <f t="shared" si="24"/>
        <v>0</v>
      </c>
      <c r="I245" s="24">
        <v>1.516084</v>
      </c>
    </row>
    <row r="246" spans="1:9" x14ac:dyDescent="0.25">
      <c r="A246" s="21"/>
      <c r="B246" s="22"/>
      <c r="C246" s="23"/>
      <c r="D246" s="18"/>
      <c r="E246" s="197"/>
      <c r="F246" s="41"/>
    </row>
    <row r="247" spans="1:9" ht="55.05" customHeight="1" x14ac:dyDescent="0.25">
      <c r="A247" s="21" t="s">
        <v>209</v>
      </c>
      <c r="B247" s="22" t="s">
        <v>360</v>
      </c>
      <c r="C247" s="23"/>
      <c r="D247" s="18"/>
      <c r="E247" s="197"/>
      <c r="F247" s="41"/>
    </row>
    <row r="248" spans="1:9" x14ac:dyDescent="0.25">
      <c r="A248" s="21" t="s">
        <v>499</v>
      </c>
      <c r="B248" s="22" t="s">
        <v>57</v>
      </c>
      <c r="C248" s="23"/>
      <c r="D248" s="18" t="s">
        <v>129</v>
      </c>
      <c r="E248" s="197">
        <v>13920</v>
      </c>
      <c r="F248" s="41">
        <f t="shared" ref="F248:F250" si="25">+C248*E248</f>
        <v>0</v>
      </c>
      <c r="H248" s="24">
        <f>+C248*10.76/100</f>
        <v>0</v>
      </c>
      <c r="I248" s="24">
        <v>5.2928439999999997</v>
      </c>
    </row>
    <row r="249" spans="1:9" x14ac:dyDescent="0.25">
      <c r="A249" s="21" t="s">
        <v>500</v>
      </c>
      <c r="B249" s="22" t="s">
        <v>58</v>
      </c>
      <c r="C249" s="23"/>
      <c r="D249" s="18" t="s">
        <v>129</v>
      </c>
      <c r="E249" s="197">
        <f>+E248*1.05</f>
        <v>14616</v>
      </c>
      <c r="F249" s="41">
        <f t="shared" si="25"/>
        <v>0</v>
      </c>
      <c r="H249" s="24">
        <f t="shared" ref="H249:H250" si="26">+C249*10.76/100</f>
        <v>0</v>
      </c>
      <c r="I249" s="24">
        <v>5.4703840000000001</v>
      </c>
    </row>
    <row r="250" spans="1:9" x14ac:dyDescent="0.25">
      <c r="A250" s="21" t="s">
        <v>501</v>
      </c>
      <c r="B250" s="22" t="s">
        <v>59</v>
      </c>
      <c r="C250" s="23"/>
      <c r="D250" s="18" t="s">
        <v>129</v>
      </c>
      <c r="E250" s="197">
        <f>+E248*1.07</f>
        <v>14894.400000000001</v>
      </c>
      <c r="F250" s="41">
        <f t="shared" si="25"/>
        <v>0</v>
      </c>
      <c r="H250" s="24">
        <f t="shared" si="26"/>
        <v>0</v>
      </c>
      <c r="I250" s="24">
        <v>6.6173999999999999</v>
      </c>
    </row>
    <row r="251" spans="1:9" x14ac:dyDescent="0.25">
      <c r="A251" s="21"/>
      <c r="B251" s="22"/>
      <c r="C251" s="23"/>
      <c r="D251" s="18"/>
      <c r="E251" s="197"/>
      <c r="F251" s="41"/>
    </row>
    <row r="252" spans="1:9" x14ac:dyDescent="0.25">
      <c r="A252" s="21"/>
      <c r="B252" s="22"/>
      <c r="C252" s="23"/>
      <c r="D252" s="18"/>
      <c r="E252" s="197"/>
      <c r="F252" s="41"/>
    </row>
    <row r="253" spans="1:9" x14ac:dyDescent="0.25">
      <c r="A253" s="21"/>
      <c r="B253" s="22"/>
      <c r="C253" s="23"/>
      <c r="D253" s="18"/>
      <c r="E253" s="197"/>
      <c r="F253" s="41"/>
    </row>
    <row r="254" spans="1:9" x14ac:dyDescent="0.25">
      <c r="A254" s="21"/>
      <c r="B254" s="22"/>
      <c r="C254" s="23"/>
      <c r="D254" s="18"/>
      <c r="E254" s="197"/>
      <c r="F254" s="41"/>
    </row>
    <row r="255" spans="1:9" s="12" customFormat="1" x14ac:dyDescent="0.25">
      <c r="A255" s="102"/>
      <c r="B255" s="103" t="s">
        <v>46</v>
      </c>
      <c r="C255" s="104"/>
      <c r="D255" s="105"/>
      <c r="E255" s="199"/>
      <c r="F255" s="106">
        <f>SUM(F241:F253)</f>
        <v>0</v>
      </c>
    </row>
    <row r="256" spans="1:9" s="12" customFormat="1" ht="30" customHeight="1" x14ac:dyDescent="0.25">
      <c r="A256" s="15"/>
      <c r="B256" s="32" t="s">
        <v>210</v>
      </c>
      <c r="C256" s="33"/>
      <c r="D256" s="18"/>
      <c r="E256" s="197"/>
      <c r="F256" s="41"/>
    </row>
    <row r="257" spans="1:10" s="36" customFormat="1" ht="38.1" customHeight="1" x14ac:dyDescent="0.25">
      <c r="A257" s="21" t="s">
        <v>211</v>
      </c>
      <c r="B257" s="22" t="s">
        <v>212</v>
      </c>
      <c r="C257" s="23"/>
      <c r="D257" s="18" t="s">
        <v>131</v>
      </c>
      <c r="E257" s="197">
        <v>31540</v>
      </c>
      <c r="F257" s="41">
        <f t="shared" ref="F257:F266" si="27">+C257*E257</f>
        <v>0</v>
      </c>
      <c r="H257" s="36">
        <f>14.36/2.83</f>
        <v>5.0742049469964661</v>
      </c>
    </row>
    <row r="258" spans="1:10" s="36" customFormat="1" x14ac:dyDescent="0.25">
      <c r="A258" s="21"/>
      <c r="B258" s="22"/>
      <c r="C258" s="23"/>
      <c r="D258" s="18"/>
      <c r="E258" s="197"/>
      <c r="F258" s="41"/>
    </row>
    <row r="259" spans="1:10" s="36" customFormat="1" x14ac:dyDescent="0.25">
      <c r="A259" s="21"/>
      <c r="B259" s="22"/>
      <c r="C259" s="23"/>
      <c r="D259" s="18"/>
      <c r="E259" s="197"/>
      <c r="F259" s="41"/>
    </row>
    <row r="260" spans="1:10" s="12" customFormat="1" x14ac:dyDescent="0.25">
      <c r="A260" s="102"/>
      <c r="B260" s="103" t="s">
        <v>46</v>
      </c>
      <c r="C260" s="104"/>
      <c r="D260" s="105"/>
      <c r="E260" s="199"/>
      <c r="F260" s="106">
        <f>SUM(F257:F259)</f>
        <v>0</v>
      </c>
    </row>
    <row r="261" spans="1:10" s="12" customFormat="1" ht="28.05" customHeight="1" x14ac:dyDescent="0.25">
      <c r="A261" s="15"/>
      <c r="B261" s="32" t="s">
        <v>213</v>
      </c>
      <c r="C261" s="33"/>
      <c r="D261" s="18"/>
      <c r="E261" s="197"/>
      <c r="F261" s="41"/>
    </row>
    <row r="262" spans="1:10" ht="38.1" customHeight="1" x14ac:dyDescent="0.25">
      <c r="A262" s="21" t="s">
        <v>214</v>
      </c>
      <c r="B262" s="22" t="s">
        <v>215</v>
      </c>
      <c r="C262" s="23"/>
      <c r="D262" s="18" t="s">
        <v>129</v>
      </c>
      <c r="E262" s="197">
        <v>10140</v>
      </c>
      <c r="F262" s="41">
        <f t="shared" si="27"/>
        <v>0</v>
      </c>
      <c r="G262" s="24">
        <f>101.91*0.3*10.76/100</f>
        <v>3.2896547999999997</v>
      </c>
    </row>
    <row r="263" spans="1:10" ht="41.4" x14ac:dyDescent="0.3">
      <c r="A263" s="21" t="s">
        <v>216</v>
      </c>
      <c r="B263" s="22" t="s">
        <v>217</v>
      </c>
      <c r="C263" s="23"/>
      <c r="D263" s="18" t="s">
        <v>129</v>
      </c>
      <c r="E263" s="197">
        <v>399</v>
      </c>
      <c r="F263" s="41">
        <f t="shared" si="27"/>
        <v>0</v>
      </c>
      <c r="G263" s="24">
        <f>250.16*10.76/100</f>
        <v>26.917216</v>
      </c>
      <c r="I263" s="5" t="s">
        <v>116</v>
      </c>
      <c r="J263" s="4">
        <v>34.880000000000003</v>
      </c>
    </row>
    <row r="264" spans="1:10" ht="55.2" x14ac:dyDescent="0.3">
      <c r="A264" s="21" t="s">
        <v>218</v>
      </c>
      <c r="B264" s="22" t="s">
        <v>362</v>
      </c>
      <c r="C264" s="23"/>
      <c r="D264" s="18"/>
      <c r="E264" s="197"/>
      <c r="F264" s="41"/>
      <c r="I264" s="5" t="s">
        <v>124</v>
      </c>
      <c r="J264" s="4">
        <v>34.880000000000003</v>
      </c>
    </row>
    <row r="265" spans="1:10" x14ac:dyDescent="0.3">
      <c r="A265" s="21" t="s">
        <v>502</v>
      </c>
      <c r="B265" s="22" t="s">
        <v>116</v>
      </c>
      <c r="C265" s="23"/>
      <c r="D265" s="18" t="s">
        <v>129</v>
      </c>
      <c r="E265" s="197">
        <v>7300</v>
      </c>
      <c r="F265" s="41">
        <f t="shared" si="27"/>
        <v>0</v>
      </c>
      <c r="G265" s="24">
        <f>+C265*10.76/100</f>
        <v>0</v>
      </c>
      <c r="I265" s="5"/>
      <c r="J265" s="4"/>
    </row>
    <row r="266" spans="1:10" x14ac:dyDescent="0.3">
      <c r="A266" s="21" t="s">
        <v>503</v>
      </c>
      <c r="B266" s="22" t="s">
        <v>124</v>
      </c>
      <c r="C266" s="23"/>
      <c r="D266" s="18" t="s">
        <v>129</v>
      </c>
      <c r="E266" s="197">
        <v>7600</v>
      </c>
      <c r="F266" s="41">
        <f t="shared" si="27"/>
        <v>0</v>
      </c>
      <c r="I266" s="5"/>
      <c r="J266" s="4"/>
    </row>
    <row r="267" spans="1:10" x14ac:dyDescent="0.3">
      <c r="A267" s="21"/>
      <c r="B267" s="22"/>
      <c r="C267" s="23"/>
      <c r="D267" s="18"/>
      <c r="E267" s="197"/>
      <c r="F267" s="41"/>
      <c r="I267" s="8"/>
      <c r="J267" s="44"/>
    </row>
    <row r="268" spans="1:10" x14ac:dyDescent="0.25">
      <c r="A268" s="21"/>
      <c r="B268" s="22"/>
      <c r="C268" s="23"/>
      <c r="D268" s="18"/>
      <c r="E268" s="197"/>
      <c r="F268" s="41"/>
    </row>
    <row r="269" spans="1:10" s="35" customFormat="1" ht="28.05" customHeight="1" x14ac:dyDescent="0.25">
      <c r="A269" s="29"/>
      <c r="B269" s="32" t="s">
        <v>219</v>
      </c>
      <c r="C269" s="33"/>
      <c r="D269" s="34"/>
      <c r="E269" s="201"/>
      <c r="F269" s="42"/>
    </row>
    <row r="270" spans="1:10" ht="112.05" customHeight="1" x14ac:dyDescent="0.25">
      <c r="A270" s="21" t="s">
        <v>504</v>
      </c>
      <c r="B270" s="22" t="s">
        <v>361</v>
      </c>
      <c r="C270" s="23"/>
      <c r="D270" s="18" t="s">
        <v>141</v>
      </c>
      <c r="E270" s="197">
        <v>263</v>
      </c>
      <c r="F270" s="41">
        <f>+C270*E270</f>
        <v>0</v>
      </c>
    </row>
    <row r="271" spans="1:10" x14ac:dyDescent="0.25">
      <c r="A271" s="21"/>
      <c r="B271" s="22"/>
      <c r="C271" s="23"/>
      <c r="D271" s="18"/>
      <c r="E271" s="197"/>
      <c r="F271" s="41"/>
    </row>
    <row r="272" spans="1:10" x14ac:dyDescent="0.25">
      <c r="A272" s="21"/>
      <c r="B272" s="22"/>
      <c r="C272" s="23"/>
      <c r="D272" s="18"/>
      <c r="E272" s="197"/>
      <c r="F272" s="41"/>
    </row>
    <row r="273" spans="1:10" x14ac:dyDescent="0.25">
      <c r="A273" s="21"/>
      <c r="B273" s="22"/>
      <c r="C273" s="23"/>
      <c r="D273" s="18"/>
      <c r="E273" s="197"/>
      <c r="F273" s="41"/>
    </row>
    <row r="274" spans="1:10" x14ac:dyDescent="0.25">
      <c r="A274" s="21"/>
      <c r="B274" s="22"/>
      <c r="C274" s="23"/>
      <c r="D274" s="18"/>
      <c r="E274" s="197"/>
      <c r="F274" s="41"/>
    </row>
    <row r="275" spans="1:10" s="12" customFormat="1" x14ac:dyDescent="0.25">
      <c r="A275" s="102"/>
      <c r="B275" s="103" t="s">
        <v>46</v>
      </c>
      <c r="C275" s="104"/>
      <c r="D275" s="105"/>
      <c r="E275" s="199"/>
      <c r="F275" s="106">
        <f>SUM(F262:F272)</f>
        <v>0</v>
      </c>
    </row>
    <row r="276" spans="1:10" s="12" customFormat="1" ht="28.05" customHeight="1" x14ac:dyDescent="0.25">
      <c r="A276" s="15"/>
      <c r="B276" s="32" t="s">
        <v>220</v>
      </c>
      <c r="C276" s="33"/>
      <c r="D276" s="18"/>
      <c r="E276" s="197"/>
      <c r="F276" s="41"/>
    </row>
    <row r="277" spans="1:10" ht="38.1" customHeight="1" x14ac:dyDescent="0.25">
      <c r="A277" s="21" t="s">
        <v>221</v>
      </c>
      <c r="B277" s="22" t="s">
        <v>363</v>
      </c>
      <c r="C277" s="23"/>
      <c r="D277" s="18" t="s">
        <v>129</v>
      </c>
      <c r="E277" s="197">
        <v>6440</v>
      </c>
      <c r="F277" s="41">
        <f>+C277*E277</f>
        <v>0</v>
      </c>
      <c r="H277" s="24">
        <f>40.8*10.76/100</f>
        <v>4.3900800000000002</v>
      </c>
    </row>
    <row r="278" spans="1:10" ht="35.25" customHeight="1" x14ac:dyDescent="0.25">
      <c r="A278" s="21" t="s">
        <v>222</v>
      </c>
      <c r="B278" s="22" t="s">
        <v>364</v>
      </c>
      <c r="C278" s="23"/>
      <c r="D278" s="18"/>
      <c r="E278" s="197"/>
      <c r="F278" s="41"/>
      <c r="J278" s="24">
        <v>267</v>
      </c>
    </row>
    <row r="279" spans="1:10" x14ac:dyDescent="0.25">
      <c r="A279" s="21" t="s">
        <v>505</v>
      </c>
      <c r="B279" s="22" t="s">
        <v>61</v>
      </c>
      <c r="C279" s="23"/>
      <c r="D279" s="18" t="s">
        <v>129</v>
      </c>
      <c r="E279" s="197">
        <v>6235</v>
      </c>
      <c r="F279" s="41">
        <f>+C279*E279</f>
        <v>0</v>
      </c>
      <c r="H279" s="24">
        <f>+C279*10.76/100</f>
        <v>0</v>
      </c>
    </row>
    <row r="280" spans="1:10" x14ac:dyDescent="0.25">
      <c r="A280" s="21" t="s">
        <v>506</v>
      </c>
      <c r="B280" s="22" t="s">
        <v>62</v>
      </c>
      <c r="C280" s="23"/>
      <c r="D280" s="18" t="s">
        <v>129</v>
      </c>
      <c r="E280" s="197">
        <f>+E279*1.05</f>
        <v>6546.75</v>
      </c>
      <c r="F280" s="41">
        <f t="shared" ref="F280:F285" si="28">+C280*E280</f>
        <v>0</v>
      </c>
      <c r="H280" s="24">
        <f t="shared" ref="H280:H283" si="29">+C280*10.76/100</f>
        <v>0</v>
      </c>
    </row>
    <row r="281" spans="1:10" x14ac:dyDescent="0.25">
      <c r="A281" s="21" t="s">
        <v>507</v>
      </c>
      <c r="B281" s="22" t="s">
        <v>63</v>
      </c>
      <c r="C281" s="23"/>
      <c r="D281" s="18" t="s">
        <v>129</v>
      </c>
      <c r="E281" s="197">
        <f>+E279*1.1</f>
        <v>6858.5000000000009</v>
      </c>
      <c r="F281" s="41">
        <f t="shared" si="28"/>
        <v>0</v>
      </c>
      <c r="H281" s="24">
        <f t="shared" si="29"/>
        <v>0</v>
      </c>
    </row>
    <row r="282" spans="1:10" x14ac:dyDescent="0.25">
      <c r="A282" s="21" t="s">
        <v>508</v>
      </c>
      <c r="B282" s="22" t="s">
        <v>116</v>
      </c>
      <c r="C282" s="23"/>
      <c r="D282" s="18" t="s">
        <v>129</v>
      </c>
      <c r="E282" s="197">
        <f>+E279*1.15</f>
        <v>7170.2499999999991</v>
      </c>
      <c r="F282" s="41">
        <f t="shared" si="28"/>
        <v>0</v>
      </c>
      <c r="H282" s="24">
        <f t="shared" si="29"/>
        <v>0</v>
      </c>
    </row>
    <row r="283" spans="1:10" x14ac:dyDescent="0.25">
      <c r="A283" s="21" t="s">
        <v>509</v>
      </c>
      <c r="B283" s="22" t="s">
        <v>124</v>
      </c>
      <c r="C283" s="23"/>
      <c r="D283" s="18" t="s">
        <v>129</v>
      </c>
      <c r="E283" s="197">
        <f>+E279*1.2</f>
        <v>7482</v>
      </c>
      <c r="F283" s="41">
        <f t="shared" si="28"/>
        <v>0</v>
      </c>
      <c r="H283" s="24">
        <f t="shared" si="29"/>
        <v>0</v>
      </c>
    </row>
    <row r="284" spans="1:10" x14ac:dyDescent="0.3">
      <c r="A284" s="21"/>
      <c r="B284" s="8"/>
      <c r="C284" s="44"/>
      <c r="D284" s="18"/>
      <c r="E284" s="197"/>
      <c r="F284" s="41"/>
    </row>
    <row r="285" spans="1:10" ht="41.4" x14ac:dyDescent="0.25">
      <c r="A285" s="21" t="s">
        <v>223</v>
      </c>
      <c r="B285" s="22" t="s">
        <v>365</v>
      </c>
      <c r="C285" s="23"/>
      <c r="D285" s="18" t="s">
        <v>167</v>
      </c>
      <c r="E285" s="197">
        <v>196</v>
      </c>
      <c r="F285" s="41">
        <f t="shared" si="28"/>
        <v>0</v>
      </c>
      <c r="J285" s="24">
        <v>162</v>
      </c>
    </row>
    <row r="286" spans="1:10" ht="34.5" customHeight="1" x14ac:dyDescent="0.25">
      <c r="A286" s="21" t="s">
        <v>224</v>
      </c>
      <c r="B286" s="22" t="s">
        <v>366</v>
      </c>
      <c r="C286" s="23"/>
      <c r="D286" s="18"/>
      <c r="E286" s="197"/>
      <c r="F286" s="41"/>
      <c r="J286" s="24">
        <f>+J278*2-J285</f>
        <v>372</v>
      </c>
    </row>
    <row r="287" spans="1:10" x14ac:dyDescent="0.25">
      <c r="A287" s="21" t="s">
        <v>510</v>
      </c>
      <c r="B287" s="22" t="s">
        <v>61</v>
      </c>
      <c r="C287" s="23"/>
      <c r="D287" s="18" t="s">
        <v>129</v>
      </c>
      <c r="E287" s="197">
        <v>8315</v>
      </c>
      <c r="F287" s="41">
        <f>+C287*E287</f>
        <v>0</v>
      </c>
      <c r="H287" s="24">
        <f>+C287*10.76/100</f>
        <v>0</v>
      </c>
    </row>
    <row r="288" spans="1:10" x14ac:dyDescent="0.25">
      <c r="A288" s="21" t="s">
        <v>512</v>
      </c>
      <c r="B288" s="22" t="s">
        <v>62</v>
      </c>
      <c r="C288" s="23"/>
      <c r="D288" s="18" t="s">
        <v>129</v>
      </c>
      <c r="E288" s="197">
        <f>+E287*1.05</f>
        <v>8730.75</v>
      </c>
      <c r="F288" s="41">
        <f t="shared" ref="F288:F293" si="30">+C288*E288</f>
        <v>0</v>
      </c>
      <c r="H288" s="24">
        <f t="shared" ref="H288:H291" si="31">+C288*10.76/100</f>
        <v>0</v>
      </c>
    </row>
    <row r="289" spans="1:8" x14ac:dyDescent="0.25">
      <c r="A289" s="21" t="s">
        <v>513</v>
      </c>
      <c r="B289" s="22" t="s">
        <v>63</v>
      </c>
      <c r="C289" s="23"/>
      <c r="D289" s="18" t="s">
        <v>129</v>
      </c>
      <c r="E289" s="197">
        <f>+E287*1.1</f>
        <v>9146.5</v>
      </c>
      <c r="F289" s="41">
        <f t="shared" si="30"/>
        <v>0</v>
      </c>
      <c r="H289" s="24">
        <f t="shared" si="31"/>
        <v>0</v>
      </c>
    </row>
    <row r="290" spans="1:8" x14ac:dyDescent="0.25">
      <c r="A290" s="21" t="s">
        <v>511</v>
      </c>
      <c r="B290" s="22" t="s">
        <v>116</v>
      </c>
      <c r="C290" s="23"/>
      <c r="D290" s="18" t="s">
        <v>129</v>
      </c>
      <c r="E290" s="197">
        <f>+E287*1.15</f>
        <v>9562.25</v>
      </c>
      <c r="F290" s="41">
        <f t="shared" si="30"/>
        <v>0</v>
      </c>
      <c r="H290" s="24">
        <f t="shared" si="31"/>
        <v>0</v>
      </c>
    </row>
    <row r="291" spans="1:8" x14ac:dyDescent="0.25">
      <c r="A291" s="21" t="s">
        <v>514</v>
      </c>
      <c r="B291" s="22" t="s">
        <v>124</v>
      </c>
      <c r="C291" s="23"/>
      <c r="D291" s="18" t="s">
        <v>129</v>
      </c>
      <c r="E291" s="197">
        <f>+E287*1.2</f>
        <v>9978</v>
      </c>
      <c r="F291" s="41">
        <f t="shared" si="30"/>
        <v>0</v>
      </c>
      <c r="H291" s="24">
        <f t="shared" si="31"/>
        <v>0</v>
      </c>
    </row>
    <row r="292" spans="1:8" x14ac:dyDescent="0.25">
      <c r="A292" s="21"/>
      <c r="B292" s="22"/>
      <c r="C292" s="23"/>
      <c r="D292" s="18"/>
      <c r="E292" s="197"/>
      <c r="F292" s="41"/>
    </row>
    <row r="293" spans="1:8" ht="27.6" x14ac:dyDescent="0.25">
      <c r="A293" s="21" t="s">
        <v>225</v>
      </c>
      <c r="B293" s="22" t="s">
        <v>367</v>
      </c>
      <c r="C293" s="23"/>
      <c r="D293" s="18" t="s">
        <v>167</v>
      </c>
      <c r="E293" s="197">
        <v>162</v>
      </c>
      <c r="F293" s="41">
        <f t="shared" si="30"/>
        <v>0</v>
      </c>
    </row>
    <row r="294" spans="1:8" x14ac:dyDescent="0.25">
      <c r="A294" s="21"/>
      <c r="B294" s="22"/>
      <c r="C294" s="23"/>
      <c r="D294" s="18"/>
      <c r="E294" s="197"/>
      <c r="F294" s="41"/>
    </row>
    <row r="295" spans="1:8" ht="55.05" customHeight="1" x14ac:dyDescent="0.25">
      <c r="A295" s="21" t="s">
        <v>226</v>
      </c>
      <c r="B295" s="22" t="s">
        <v>227</v>
      </c>
      <c r="C295" s="23"/>
      <c r="D295" s="18"/>
      <c r="E295" s="197"/>
      <c r="F295" s="41"/>
    </row>
    <row r="296" spans="1:8" x14ac:dyDescent="0.25">
      <c r="A296" s="21" t="s">
        <v>515</v>
      </c>
      <c r="B296" s="22" t="s">
        <v>61</v>
      </c>
      <c r="C296" s="23"/>
      <c r="D296" s="18" t="s">
        <v>129</v>
      </c>
      <c r="E296" s="197">
        <v>9505</v>
      </c>
      <c r="F296" s="41">
        <f>+C296*E296</f>
        <v>0</v>
      </c>
      <c r="H296" s="24">
        <f>+C296*10.76/100</f>
        <v>0</v>
      </c>
    </row>
    <row r="297" spans="1:8" x14ac:dyDescent="0.25">
      <c r="A297" s="21" t="s">
        <v>516</v>
      </c>
      <c r="B297" s="22" t="s">
        <v>62</v>
      </c>
      <c r="C297" s="23"/>
      <c r="D297" s="18" t="s">
        <v>129</v>
      </c>
      <c r="E297" s="197">
        <f>+E296*1.05</f>
        <v>9980.25</v>
      </c>
      <c r="F297" s="41">
        <f t="shared" ref="F297:F299" si="32">+C297*E297</f>
        <v>0</v>
      </c>
      <c r="H297" s="24">
        <f t="shared" ref="H297:H299" si="33">+C297*10.76/100</f>
        <v>0</v>
      </c>
    </row>
    <row r="298" spans="1:8" x14ac:dyDescent="0.25">
      <c r="A298" s="21" t="s">
        <v>517</v>
      </c>
      <c r="B298" s="22" t="s">
        <v>63</v>
      </c>
      <c r="C298" s="23"/>
      <c r="D298" s="18" t="s">
        <v>129</v>
      </c>
      <c r="E298" s="197">
        <f>+E296*1.1</f>
        <v>10455.5</v>
      </c>
      <c r="F298" s="41">
        <f t="shared" si="32"/>
        <v>0</v>
      </c>
      <c r="H298" s="24">
        <f t="shared" si="33"/>
        <v>0</v>
      </c>
    </row>
    <row r="299" spans="1:8" x14ac:dyDescent="0.25">
      <c r="A299" s="21" t="s">
        <v>518</v>
      </c>
      <c r="B299" s="22" t="s">
        <v>116</v>
      </c>
      <c r="C299" s="23"/>
      <c r="D299" s="18" t="s">
        <v>129</v>
      </c>
      <c r="E299" s="197">
        <f>+E296*1.15</f>
        <v>10930.75</v>
      </c>
      <c r="F299" s="41">
        <f t="shared" si="32"/>
        <v>0</v>
      </c>
      <c r="H299" s="24">
        <f t="shared" si="33"/>
        <v>0</v>
      </c>
    </row>
    <row r="300" spans="1:8" x14ac:dyDescent="0.25">
      <c r="A300" s="21"/>
      <c r="B300" s="22"/>
      <c r="C300" s="23"/>
      <c r="D300" s="18"/>
      <c r="E300" s="197"/>
      <c r="F300" s="41"/>
    </row>
    <row r="301" spans="1:8" x14ac:dyDescent="0.25">
      <c r="A301" s="21"/>
      <c r="B301" s="22"/>
      <c r="C301" s="23"/>
      <c r="D301" s="18"/>
      <c r="E301" s="197"/>
      <c r="F301" s="41"/>
    </row>
    <row r="302" spans="1:8" x14ac:dyDescent="0.25">
      <c r="A302" s="21"/>
      <c r="B302" s="22"/>
      <c r="C302" s="23"/>
      <c r="D302" s="18"/>
      <c r="E302" s="197"/>
      <c r="F302" s="41"/>
    </row>
    <row r="303" spans="1:8" x14ac:dyDescent="0.25">
      <c r="A303" s="21"/>
      <c r="B303" s="22"/>
      <c r="C303" s="23"/>
      <c r="D303" s="18"/>
      <c r="E303" s="197"/>
      <c r="F303" s="41"/>
    </row>
    <row r="304" spans="1:8" s="12" customFormat="1" x14ac:dyDescent="0.25">
      <c r="A304" s="102"/>
      <c r="B304" s="103" t="s">
        <v>46</v>
      </c>
      <c r="C304" s="104"/>
      <c r="D304" s="105"/>
      <c r="E304" s="199"/>
      <c r="F304" s="106">
        <f>SUM(F277:F302)</f>
        <v>0</v>
      </c>
    </row>
    <row r="305" spans="1:8" s="12" customFormat="1" ht="28.05" customHeight="1" x14ac:dyDescent="0.25">
      <c r="A305" s="15"/>
      <c r="B305" s="32" t="s">
        <v>228</v>
      </c>
      <c r="C305" s="33"/>
      <c r="D305" s="18"/>
      <c r="E305" s="197"/>
      <c r="F305" s="41"/>
    </row>
    <row r="306" spans="1:8" s="12" customFormat="1" ht="20.100000000000001" customHeight="1" x14ac:dyDescent="0.25">
      <c r="A306" s="15"/>
      <c r="B306" s="19" t="s">
        <v>175</v>
      </c>
      <c r="C306" s="20"/>
      <c r="D306" s="18"/>
      <c r="E306" s="197"/>
      <c r="F306" s="41"/>
    </row>
    <row r="307" spans="1:8" s="12" customFormat="1" ht="38.1" customHeight="1" x14ac:dyDescent="0.25">
      <c r="A307" s="15"/>
      <c r="B307" s="25" t="s">
        <v>229</v>
      </c>
      <c r="C307" s="26"/>
      <c r="D307" s="18"/>
      <c r="E307" s="197"/>
      <c r="F307" s="41"/>
    </row>
    <row r="308" spans="1:8" s="12" customFormat="1" ht="36.75" customHeight="1" x14ac:dyDescent="0.25">
      <c r="A308" s="15"/>
      <c r="B308" s="25" t="s">
        <v>230</v>
      </c>
      <c r="C308" s="26"/>
      <c r="D308" s="18"/>
      <c r="E308" s="197"/>
      <c r="F308" s="41"/>
    </row>
    <row r="309" spans="1:8" s="12" customFormat="1" ht="25.05" customHeight="1" x14ac:dyDescent="0.25">
      <c r="A309" s="15"/>
      <c r="B309" s="19" t="s">
        <v>231</v>
      </c>
      <c r="C309" s="20"/>
      <c r="D309" s="18"/>
      <c r="E309" s="197"/>
      <c r="F309" s="41"/>
    </row>
    <row r="310" spans="1:8" ht="81.75" customHeight="1" x14ac:dyDescent="0.25">
      <c r="A310" s="21" t="s">
        <v>519</v>
      </c>
      <c r="B310" s="22" t="s">
        <v>368</v>
      </c>
      <c r="C310" s="23"/>
      <c r="D310" s="18"/>
      <c r="E310" s="197"/>
      <c r="F310" s="41"/>
    </row>
    <row r="311" spans="1:8" x14ac:dyDescent="0.25">
      <c r="A311" s="21" t="s">
        <v>520</v>
      </c>
      <c r="B311" s="22" t="s">
        <v>62</v>
      </c>
      <c r="C311" s="23"/>
      <c r="D311" s="18" t="s">
        <v>129</v>
      </c>
      <c r="E311" s="197">
        <v>38440</v>
      </c>
      <c r="F311" s="41">
        <f>+C311*E311</f>
        <v>0</v>
      </c>
      <c r="H311" s="24">
        <f>+C311*10.76/100</f>
        <v>0</v>
      </c>
    </row>
    <row r="312" spans="1:8" x14ac:dyDescent="0.25">
      <c r="A312" s="21" t="s">
        <v>521</v>
      </c>
      <c r="B312" s="22" t="s">
        <v>63</v>
      </c>
      <c r="C312" s="23"/>
      <c r="D312" s="18" t="s">
        <v>129</v>
      </c>
      <c r="E312" s="197">
        <f>+E311*1.02</f>
        <v>39208.800000000003</v>
      </c>
      <c r="F312" s="41">
        <f t="shared" ref="F312:F314" si="34">+C312*E312</f>
        <v>0</v>
      </c>
      <c r="H312" s="24">
        <f t="shared" ref="H312" si="35">+C312*10.76/100</f>
        <v>0</v>
      </c>
    </row>
    <row r="313" spans="1:8" x14ac:dyDescent="0.25">
      <c r="A313" s="21"/>
      <c r="B313" s="22"/>
      <c r="C313" s="23"/>
      <c r="D313" s="18"/>
      <c r="E313" s="197"/>
      <c r="F313" s="41"/>
    </row>
    <row r="314" spans="1:8" x14ac:dyDescent="0.25">
      <c r="A314" s="21" t="s">
        <v>232</v>
      </c>
      <c r="B314" s="22" t="s">
        <v>234</v>
      </c>
      <c r="C314" s="23"/>
      <c r="D314" s="18" t="s">
        <v>129</v>
      </c>
      <c r="E314" s="197">
        <v>5985</v>
      </c>
      <c r="F314" s="41">
        <f t="shared" si="34"/>
        <v>0</v>
      </c>
    </row>
    <row r="315" spans="1:8" s="12" customFormat="1" ht="28.05" customHeight="1" x14ac:dyDescent="0.25">
      <c r="A315" s="15"/>
      <c r="B315" s="19" t="s">
        <v>235</v>
      </c>
      <c r="C315" s="20"/>
      <c r="D315" s="18"/>
      <c r="E315" s="197"/>
      <c r="F315" s="41"/>
    </row>
    <row r="316" spans="1:8" s="12" customFormat="1" ht="20.100000000000001" customHeight="1" x14ac:dyDescent="0.25">
      <c r="A316" s="15"/>
      <c r="B316" s="19" t="s">
        <v>236</v>
      </c>
      <c r="C316" s="20"/>
      <c r="D316" s="18"/>
      <c r="E316" s="197"/>
      <c r="F316" s="41"/>
    </row>
    <row r="317" spans="1:8" s="12" customFormat="1" ht="88.05" customHeight="1" x14ac:dyDescent="0.25">
      <c r="A317" s="15"/>
      <c r="B317" s="25" t="s">
        <v>237</v>
      </c>
      <c r="C317" s="26"/>
      <c r="D317" s="18"/>
      <c r="E317" s="197"/>
      <c r="F317" s="41"/>
    </row>
    <row r="318" spans="1:8" ht="55.05" customHeight="1" x14ac:dyDescent="0.25">
      <c r="A318" s="21" t="s">
        <v>522</v>
      </c>
      <c r="B318" s="22" t="s">
        <v>369</v>
      </c>
      <c r="C318" s="23"/>
      <c r="D318" s="18" t="s">
        <v>129</v>
      </c>
      <c r="E318" s="197">
        <v>40360</v>
      </c>
      <c r="F318" s="41"/>
    </row>
    <row r="319" spans="1:8" x14ac:dyDescent="0.25">
      <c r="A319" s="21" t="s">
        <v>523</v>
      </c>
      <c r="B319" s="22" t="s">
        <v>61</v>
      </c>
      <c r="C319" s="23"/>
      <c r="D319" s="18" t="s">
        <v>129</v>
      </c>
      <c r="E319" s="197">
        <v>40360</v>
      </c>
      <c r="F319" s="41">
        <f>+C319*E319</f>
        <v>0</v>
      </c>
      <c r="H319" s="24">
        <f>+C319*10.76/100</f>
        <v>0</v>
      </c>
    </row>
    <row r="320" spans="1:8" x14ac:dyDescent="0.25">
      <c r="A320" s="21" t="s">
        <v>524</v>
      </c>
      <c r="B320" s="22" t="s">
        <v>62</v>
      </c>
      <c r="C320" s="23"/>
      <c r="D320" s="18" t="s">
        <v>129</v>
      </c>
      <c r="E320" s="197">
        <f>+E319*1.02</f>
        <v>41167.199999999997</v>
      </c>
      <c r="F320" s="41">
        <f t="shared" ref="F320:F325" si="36">+C320*E320</f>
        <v>0</v>
      </c>
      <c r="H320" s="24">
        <f t="shared" ref="H320:H321" si="37">+C320*10.76/100</f>
        <v>0</v>
      </c>
    </row>
    <row r="321" spans="1:18" x14ac:dyDescent="0.25">
      <c r="A321" s="21" t="s">
        <v>525</v>
      </c>
      <c r="B321" s="22" t="s">
        <v>63</v>
      </c>
      <c r="C321" s="23"/>
      <c r="D321" s="18" t="s">
        <v>129</v>
      </c>
      <c r="E321" s="197">
        <f>+E319*1.04</f>
        <v>41974.400000000001</v>
      </c>
      <c r="F321" s="41">
        <f t="shared" si="36"/>
        <v>0</v>
      </c>
      <c r="H321" s="24">
        <f t="shared" si="37"/>
        <v>0</v>
      </c>
    </row>
    <row r="322" spans="1:18" x14ac:dyDescent="0.25">
      <c r="A322" s="21"/>
      <c r="B322" s="22"/>
      <c r="C322" s="23"/>
      <c r="D322" s="18"/>
      <c r="E322" s="197"/>
      <c r="F322" s="41"/>
    </row>
    <row r="323" spans="1:18" ht="60" customHeight="1" x14ac:dyDescent="0.25">
      <c r="A323" s="21" t="s">
        <v>233</v>
      </c>
      <c r="B323" s="22" t="s">
        <v>370</v>
      </c>
      <c r="C323" s="23"/>
      <c r="D323" s="18" t="s">
        <v>129</v>
      </c>
      <c r="E323" s="197">
        <v>51440</v>
      </c>
      <c r="F323" s="41">
        <f t="shared" si="36"/>
        <v>0</v>
      </c>
    </row>
    <row r="324" spans="1:18" ht="35.25" customHeight="1" x14ac:dyDescent="0.25">
      <c r="A324" s="21" t="s">
        <v>238</v>
      </c>
      <c r="B324" s="22" t="s">
        <v>372</v>
      </c>
      <c r="C324" s="23"/>
      <c r="D324" s="18" t="s">
        <v>373</v>
      </c>
      <c r="E324" s="197">
        <v>140</v>
      </c>
      <c r="F324" s="41">
        <f t="shared" si="36"/>
        <v>0</v>
      </c>
    </row>
    <row r="325" spans="1:18" ht="35.25" customHeight="1" x14ac:dyDescent="0.25">
      <c r="A325" s="21" t="s">
        <v>526</v>
      </c>
      <c r="B325" s="22" t="s">
        <v>371</v>
      </c>
      <c r="C325" s="23"/>
      <c r="D325" s="18" t="s">
        <v>373</v>
      </c>
      <c r="E325" s="197">
        <v>177</v>
      </c>
      <c r="F325" s="41">
        <f t="shared" si="36"/>
        <v>0</v>
      </c>
    </row>
    <row r="326" spans="1:18" x14ac:dyDescent="0.25">
      <c r="A326" s="21"/>
      <c r="B326" s="22"/>
      <c r="C326" s="23"/>
      <c r="D326" s="18"/>
      <c r="E326" s="197"/>
      <c r="F326" s="41"/>
    </row>
    <row r="327" spans="1:18" x14ac:dyDescent="0.25">
      <c r="A327" s="21"/>
      <c r="B327" s="22"/>
      <c r="C327" s="23"/>
      <c r="D327" s="18"/>
      <c r="E327" s="197"/>
      <c r="F327" s="41"/>
    </row>
    <row r="328" spans="1:18" x14ac:dyDescent="0.25">
      <c r="A328" s="21"/>
      <c r="B328" s="22"/>
      <c r="C328" s="23"/>
      <c r="D328" s="18"/>
      <c r="E328" s="197"/>
      <c r="F328" s="41"/>
    </row>
    <row r="329" spans="1:18" s="12" customFormat="1" x14ac:dyDescent="0.25">
      <c r="A329" s="102"/>
      <c r="B329" s="103" t="s">
        <v>46</v>
      </c>
      <c r="C329" s="104"/>
      <c r="D329" s="105"/>
      <c r="E329" s="199"/>
      <c r="F329" s="106">
        <f>SUM(F310:F327)</f>
        <v>0</v>
      </c>
    </row>
    <row r="330" spans="1:18" s="31" customFormat="1" ht="45" customHeight="1" x14ac:dyDescent="0.25">
      <c r="A330" s="30"/>
      <c r="B330" s="32" t="s">
        <v>239</v>
      </c>
      <c r="C330" s="33"/>
      <c r="D330" s="18"/>
      <c r="E330" s="197"/>
      <c r="F330" s="41"/>
    </row>
    <row r="331" spans="1:18" ht="27.6" x14ac:dyDescent="0.25">
      <c r="A331" s="21" t="s">
        <v>527</v>
      </c>
      <c r="B331" s="22" t="s">
        <v>375</v>
      </c>
      <c r="C331" s="23"/>
      <c r="D331" s="18"/>
      <c r="E331" s="197"/>
      <c r="F331" s="41"/>
    </row>
    <row r="332" spans="1:18" x14ac:dyDescent="0.25">
      <c r="A332" s="21" t="s">
        <v>528</v>
      </c>
      <c r="B332" s="22" t="s">
        <v>61</v>
      </c>
      <c r="C332" s="23"/>
      <c r="D332" s="18" t="s">
        <v>129</v>
      </c>
      <c r="E332" s="197">
        <v>2550</v>
      </c>
      <c r="F332" s="41">
        <f t="shared" ref="F332:F336" si="38">+C332*E332</f>
        <v>0</v>
      </c>
      <c r="H332" s="24">
        <v>827.03</v>
      </c>
      <c r="I332" s="24">
        <v>161.03</v>
      </c>
      <c r="J332" s="24">
        <v>273.77999999999997</v>
      </c>
      <c r="K332" s="24">
        <f>+H332*10.76/100</f>
        <v>88.988427999999999</v>
      </c>
      <c r="L332" s="24">
        <f>+I332*10.76/100</f>
        <v>17.326827999999999</v>
      </c>
      <c r="M332" s="24">
        <f>+J332*10.76/100</f>
        <v>29.458727999999997</v>
      </c>
      <c r="N332" s="24">
        <f>+K332-M332</f>
        <v>59.529700000000005</v>
      </c>
      <c r="P332" s="24">
        <f>+L332+N332</f>
        <v>76.856527999999997</v>
      </c>
      <c r="R332" s="24">
        <f>SUM(K332:L332)</f>
        <v>106.31525600000001</v>
      </c>
    </row>
    <row r="333" spans="1:18" x14ac:dyDescent="0.25">
      <c r="A333" s="21" t="s">
        <v>529</v>
      </c>
      <c r="B333" s="22" t="s">
        <v>62</v>
      </c>
      <c r="C333" s="23"/>
      <c r="D333" s="18" t="s">
        <v>129</v>
      </c>
      <c r="E333" s="197">
        <f>+E332*1.03</f>
        <v>2626.5</v>
      </c>
      <c r="F333" s="41">
        <f t="shared" si="38"/>
        <v>0</v>
      </c>
      <c r="H333" s="24">
        <v>820.51</v>
      </c>
      <c r="I333" s="24">
        <v>204.65</v>
      </c>
      <c r="J333" s="24">
        <v>273.78000000000003</v>
      </c>
      <c r="K333" s="24">
        <f t="shared" ref="K333:M336" si="39">+H333*10.76/100</f>
        <v>88.286875999999992</v>
      </c>
      <c r="L333" s="24">
        <f t="shared" si="39"/>
        <v>22.020340000000001</v>
      </c>
      <c r="M333" s="24">
        <f t="shared" si="39"/>
        <v>29.458728000000001</v>
      </c>
      <c r="N333" s="24">
        <f t="shared" ref="N333:N336" si="40">+K333-M333</f>
        <v>58.828147999999992</v>
      </c>
      <c r="P333" s="24">
        <f t="shared" ref="P333:P336" si="41">+L333+N333</f>
        <v>80.848487999999989</v>
      </c>
      <c r="R333" s="24">
        <f>SUM(K333:L333)</f>
        <v>110.307216</v>
      </c>
    </row>
    <row r="334" spans="1:18" x14ac:dyDescent="0.25">
      <c r="A334" s="21" t="s">
        <v>530</v>
      </c>
      <c r="B334" s="22" t="s">
        <v>63</v>
      </c>
      <c r="C334" s="23"/>
      <c r="D334" s="18" t="s">
        <v>129</v>
      </c>
      <c r="E334" s="197">
        <f>+E332*1.06</f>
        <v>2703</v>
      </c>
      <c r="F334" s="41">
        <f t="shared" si="38"/>
        <v>0</v>
      </c>
      <c r="H334" s="24">
        <v>416.72</v>
      </c>
      <c r="I334" s="24">
        <v>241</v>
      </c>
      <c r="J334" s="24">
        <v>29.08</v>
      </c>
      <c r="K334" s="24">
        <f t="shared" si="39"/>
        <v>44.839072000000009</v>
      </c>
      <c r="L334" s="24">
        <f t="shared" si="39"/>
        <v>25.9316</v>
      </c>
      <c r="M334" s="24">
        <f t="shared" si="39"/>
        <v>3.1290080000000002</v>
      </c>
      <c r="N334" s="24">
        <f t="shared" si="40"/>
        <v>41.71006400000001</v>
      </c>
      <c r="P334" s="24">
        <f t="shared" si="41"/>
        <v>67.641664000000006</v>
      </c>
      <c r="R334" s="24">
        <f>SUM(K334:L334)</f>
        <v>70.770672000000005</v>
      </c>
    </row>
    <row r="335" spans="1:18" x14ac:dyDescent="0.25">
      <c r="A335" s="21" t="s">
        <v>531</v>
      </c>
      <c r="B335" s="22" t="s">
        <v>116</v>
      </c>
      <c r="C335" s="23"/>
      <c r="D335" s="18" t="s">
        <v>129</v>
      </c>
      <c r="E335" s="197">
        <f>+E332*1.09</f>
        <v>2779.5</v>
      </c>
      <c r="F335" s="41">
        <f t="shared" si="38"/>
        <v>0</v>
      </c>
      <c r="H335" s="24">
        <v>218.05</v>
      </c>
      <c r="I335" s="24">
        <v>134.41</v>
      </c>
      <c r="J335" s="24">
        <v>29.08</v>
      </c>
      <c r="K335" s="24">
        <f t="shared" si="39"/>
        <v>23.462180000000004</v>
      </c>
      <c r="L335" s="24">
        <f t="shared" si="39"/>
        <v>14.462515999999999</v>
      </c>
      <c r="M335" s="24">
        <f t="shared" si="39"/>
        <v>3.1290080000000002</v>
      </c>
      <c r="N335" s="24">
        <f t="shared" si="40"/>
        <v>20.333172000000005</v>
      </c>
      <c r="P335" s="24">
        <f t="shared" si="41"/>
        <v>34.795688000000006</v>
      </c>
      <c r="R335" s="24">
        <f>SUM(K335:L335)</f>
        <v>37.924696000000004</v>
      </c>
    </row>
    <row r="336" spans="1:18" x14ac:dyDescent="0.25">
      <c r="A336" s="21" t="s">
        <v>532</v>
      </c>
      <c r="B336" s="22" t="s">
        <v>124</v>
      </c>
      <c r="C336" s="23"/>
      <c r="D336" s="18" t="s">
        <v>129</v>
      </c>
      <c r="E336" s="197">
        <f>+E332*1.12</f>
        <v>2856.0000000000005</v>
      </c>
      <c r="F336" s="41">
        <f t="shared" si="38"/>
        <v>0</v>
      </c>
      <c r="H336" s="24">
        <v>14.09</v>
      </c>
      <c r="I336" s="24">
        <v>14.09</v>
      </c>
      <c r="K336" s="24">
        <f t="shared" si="39"/>
        <v>1.516084</v>
      </c>
      <c r="L336" s="24">
        <f t="shared" si="39"/>
        <v>1.516084</v>
      </c>
      <c r="M336" s="24">
        <f t="shared" si="39"/>
        <v>0</v>
      </c>
      <c r="N336" s="24">
        <f t="shared" si="40"/>
        <v>1.516084</v>
      </c>
      <c r="P336" s="24">
        <f t="shared" si="41"/>
        <v>3.032168</v>
      </c>
      <c r="R336" s="24">
        <f>SUM(K336:L336)</f>
        <v>3.032168</v>
      </c>
    </row>
    <row r="337" spans="1:6" x14ac:dyDescent="0.25">
      <c r="A337" s="21"/>
      <c r="B337" s="22"/>
      <c r="C337" s="23"/>
      <c r="D337" s="18"/>
      <c r="E337" s="197"/>
      <c r="F337" s="41"/>
    </row>
    <row r="338" spans="1:6" ht="38.1" customHeight="1" x14ac:dyDescent="0.25">
      <c r="A338" s="21" t="s">
        <v>533</v>
      </c>
      <c r="B338" s="22" t="s">
        <v>374</v>
      </c>
      <c r="C338" s="23"/>
      <c r="D338" s="18"/>
      <c r="E338" s="197"/>
      <c r="F338" s="41"/>
    </row>
    <row r="339" spans="1:6" x14ac:dyDescent="0.25">
      <c r="A339" s="21" t="s">
        <v>534</v>
      </c>
      <c r="B339" s="22" t="s">
        <v>61</v>
      </c>
      <c r="C339" s="23"/>
      <c r="D339" s="18" t="s">
        <v>129</v>
      </c>
      <c r="E339" s="197">
        <v>2375</v>
      </c>
      <c r="F339" s="41">
        <f t="shared" ref="F339:F343" si="42">+C339*E339</f>
        <v>0</v>
      </c>
    </row>
    <row r="340" spans="1:6" x14ac:dyDescent="0.25">
      <c r="A340" s="21" t="s">
        <v>537</v>
      </c>
      <c r="B340" s="22" t="s">
        <v>62</v>
      </c>
      <c r="C340" s="23"/>
      <c r="D340" s="18" t="s">
        <v>129</v>
      </c>
      <c r="E340" s="197">
        <f>+E339*1.03</f>
        <v>2446.25</v>
      </c>
      <c r="F340" s="41">
        <f t="shared" si="42"/>
        <v>0</v>
      </c>
    </row>
    <row r="341" spans="1:6" x14ac:dyDescent="0.25">
      <c r="A341" s="21" t="s">
        <v>538</v>
      </c>
      <c r="B341" s="22" t="s">
        <v>63</v>
      </c>
      <c r="C341" s="23"/>
      <c r="D341" s="18" t="s">
        <v>129</v>
      </c>
      <c r="E341" s="197">
        <f>+E339*1.06</f>
        <v>2517.5</v>
      </c>
      <c r="F341" s="41">
        <f t="shared" si="42"/>
        <v>0</v>
      </c>
    </row>
    <row r="342" spans="1:6" x14ac:dyDescent="0.25">
      <c r="A342" s="21" t="s">
        <v>536</v>
      </c>
      <c r="B342" s="22" t="s">
        <v>116</v>
      </c>
      <c r="C342" s="23"/>
      <c r="D342" s="18" t="s">
        <v>129</v>
      </c>
      <c r="E342" s="197">
        <f>+E339*1.09</f>
        <v>2588.75</v>
      </c>
      <c r="F342" s="41">
        <f t="shared" si="42"/>
        <v>0</v>
      </c>
    </row>
    <row r="343" spans="1:6" x14ac:dyDescent="0.25">
      <c r="A343" s="21" t="s">
        <v>535</v>
      </c>
      <c r="B343" s="22" t="s">
        <v>124</v>
      </c>
      <c r="C343" s="23"/>
      <c r="D343" s="18" t="s">
        <v>129</v>
      </c>
      <c r="E343" s="197">
        <f>+E339*1.12</f>
        <v>2660.0000000000005</v>
      </c>
      <c r="F343" s="41">
        <f t="shared" si="42"/>
        <v>0</v>
      </c>
    </row>
    <row r="344" spans="1:6" x14ac:dyDescent="0.25">
      <c r="A344" s="21"/>
      <c r="B344" s="22"/>
      <c r="C344" s="23"/>
      <c r="D344" s="18"/>
      <c r="E344" s="197"/>
      <c r="F344" s="41"/>
    </row>
    <row r="345" spans="1:6" ht="37.5" customHeight="1" x14ac:dyDescent="0.25">
      <c r="A345" s="21" t="s">
        <v>240</v>
      </c>
      <c r="B345" s="22" t="s">
        <v>376</v>
      </c>
      <c r="C345" s="23"/>
      <c r="D345" s="18"/>
      <c r="E345" s="197"/>
      <c r="F345" s="41"/>
    </row>
    <row r="346" spans="1:6" x14ac:dyDescent="0.25">
      <c r="A346" s="21" t="s">
        <v>540</v>
      </c>
      <c r="B346" s="22" t="s">
        <v>61</v>
      </c>
      <c r="C346" s="23"/>
      <c r="D346" s="18" t="s">
        <v>129</v>
      </c>
      <c r="E346" s="197">
        <v>2855</v>
      </c>
      <c r="F346" s="41">
        <f t="shared" ref="F346:F349" si="43">+C346*E346</f>
        <v>0</v>
      </c>
    </row>
    <row r="347" spans="1:6" x14ac:dyDescent="0.25">
      <c r="A347" s="21" t="s">
        <v>543</v>
      </c>
      <c r="B347" s="22" t="s">
        <v>62</v>
      </c>
      <c r="C347" s="23"/>
      <c r="D347" s="18" t="s">
        <v>129</v>
      </c>
      <c r="E347" s="197">
        <f>+E346*1.03</f>
        <v>2940.65</v>
      </c>
      <c r="F347" s="41">
        <f t="shared" si="43"/>
        <v>0</v>
      </c>
    </row>
    <row r="348" spans="1:6" x14ac:dyDescent="0.25">
      <c r="A348" s="21" t="s">
        <v>544</v>
      </c>
      <c r="B348" s="22" t="s">
        <v>63</v>
      </c>
      <c r="C348" s="23"/>
      <c r="D348" s="18" t="s">
        <v>129</v>
      </c>
      <c r="E348" s="197">
        <f>+E346*1.06</f>
        <v>3026.3</v>
      </c>
      <c r="F348" s="41">
        <f t="shared" si="43"/>
        <v>0</v>
      </c>
    </row>
    <row r="349" spans="1:6" x14ac:dyDescent="0.25">
      <c r="A349" s="21" t="s">
        <v>545</v>
      </c>
      <c r="B349" s="22" t="s">
        <v>116</v>
      </c>
      <c r="C349" s="23"/>
      <c r="D349" s="18" t="s">
        <v>129</v>
      </c>
      <c r="E349" s="197">
        <f>+E346*1.09</f>
        <v>3111.9500000000003</v>
      </c>
      <c r="F349" s="41">
        <f t="shared" si="43"/>
        <v>0</v>
      </c>
    </row>
    <row r="350" spans="1:6" x14ac:dyDescent="0.25">
      <c r="A350" s="21"/>
      <c r="B350" s="22"/>
      <c r="C350" s="23"/>
      <c r="D350" s="18"/>
      <c r="E350" s="197"/>
      <c r="F350" s="41"/>
    </row>
    <row r="351" spans="1:6" ht="41.4" x14ac:dyDescent="0.25">
      <c r="A351" s="21" t="s">
        <v>539</v>
      </c>
      <c r="B351" s="22" t="s">
        <v>377</v>
      </c>
      <c r="C351" s="23"/>
      <c r="D351" s="18"/>
      <c r="E351" s="197"/>
      <c r="F351" s="41"/>
    </row>
    <row r="352" spans="1:6" x14ac:dyDescent="0.25">
      <c r="A352" s="21" t="s">
        <v>541</v>
      </c>
      <c r="B352" s="22" t="s">
        <v>61</v>
      </c>
      <c r="C352" s="23"/>
      <c r="D352" s="18" t="s">
        <v>129</v>
      </c>
      <c r="E352" s="197">
        <v>3410</v>
      </c>
      <c r="F352" s="41">
        <f t="shared" ref="F352:F356" si="44">+C352*E352</f>
        <v>0</v>
      </c>
    </row>
    <row r="353" spans="1:10" x14ac:dyDescent="0.25">
      <c r="A353" s="21" t="s">
        <v>542</v>
      </c>
      <c r="B353" s="22" t="s">
        <v>62</v>
      </c>
      <c r="C353" s="23"/>
      <c r="D353" s="18" t="s">
        <v>129</v>
      </c>
      <c r="E353" s="197">
        <f>+E352*1.03</f>
        <v>3512.3</v>
      </c>
      <c r="F353" s="41">
        <f t="shared" si="44"/>
        <v>0</v>
      </c>
    </row>
    <row r="354" spans="1:10" x14ac:dyDescent="0.25">
      <c r="A354" s="21" t="s">
        <v>546</v>
      </c>
      <c r="B354" s="22" t="s">
        <v>63</v>
      </c>
      <c r="C354" s="23"/>
      <c r="D354" s="18" t="s">
        <v>129</v>
      </c>
      <c r="E354" s="197">
        <f>+E352*1.06</f>
        <v>3614.6000000000004</v>
      </c>
      <c r="F354" s="41">
        <f t="shared" si="44"/>
        <v>0</v>
      </c>
    </row>
    <row r="355" spans="1:10" x14ac:dyDescent="0.25">
      <c r="A355" s="21" t="s">
        <v>547</v>
      </c>
      <c r="B355" s="22" t="s">
        <v>116</v>
      </c>
      <c r="C355" s="23"/>
      <c r="D355" s="18" t="s">
        <v>129</v>
      </c>
      <c r="E355" s="197">
        <f>+E352*1.09</f>
        <v>3716.9</v>
      </c>
      <c r="F355" s="41">
        <f t="shared" si="44"/>
        <v>0</v>
      </c>
    </row>
    <row r="356" spans="1:10" x14ac:dyDescent="0.25">
      <c r="A356" s="21" t="s">
        <v>548</v>
      </c>
      <c r="B356" s="22" t="s">
        <v>124</v>
      </c>
      <c r="C356" s="23"/>
      <c r="D356" s="18" t="s">
        <v>129</v>
      </c>
      <c r="E356" s="197">
        <f>+E352*1.12</f>
        <v>3819.2000000000003</v>
      </c>
      <c r="F356" s="41">
        <f t="shared" si="44"/>
        <v>0</v>
      </c>
    </row>
    <row r="357" spans="1:10" x14ac:dyDescent="0.25">
      <c r="A357" s="21"/>
      <c r="B357" s="22"/>
      <c r="C357" s="23"/>
      <c r="D357" s="18"/>
      <c r="E357" s="197"/>
      <c r="F357" s="41"/>
    </row>
    <row r="358" spans="1:10" x14ac:dyDescent="0.25">
      <c r="A358" s="21"/>
      <c r="B358" s="22"/>
      <c r="C358" s="23"/>
      <c r="D358" s="18"/>
      <c r="E358" s="197"/>
      <c r="F358" s="41"/>
    </row>
    <row r="359" spans="1:10" x14ac:dyDescent="0.25">
      <c r="A359" s="21"/>
      <c r="B359" s="22"/>
      <c r="C359" s="23"/>
      <c r="D359" s="18"/>
      <c r="E359" s="197"/>
      <c r="F359" s="41"/>
    </row>
    <row r="360" spans="1:10" s="12" customFormat="1" x14ac:dyDescent="0.25">
      <c r="A360" s="102"/>
      <c r="B360" s="103" t="s">
        <v>46</v>
      </c>
      <c r="C360" s="104"/>
      <c r="D360" s="105"/>
      <c r="E360" s="199"/>
      <c r="F360" s="106">
        <f>SUM(F331:F358)</f>
        <v>0</v>
      </c>
    </row>
    <row r="361" spans="1:10" x14ac:dyDescent="0.25">
      <c r="A361" s="21"/>
      <c r="B361" s="22"/>
      <c r="C361" s="23"/>
      <c r="D361" s="18"/>
      <c r="E361" s="197"/>
      <c r="F361" s="41"/>
    </row>
    <row r="362" spans="1:10" ht="15.6" x14ac:dyDescent="0.25">
      <c r="A362" s="21"/>
      <c r="B362" s="32" t="s">
        <v>396</v>
      </c>
      <c r="C362" s="23"/>
      <c r="D362" s="18"/>
      <c r="E362" s="197"/>
      <c r="F362" s="41"/>
    </row>
    <row r="363" spans="1:10" ht="15.6" x14ac:dyDescent="0.25">
      <c r="A363" s="21"/>
      <c r="B363" s="32"/>
      <c r="C363" s="23"/>
      <c r="D363" s="18"/>
      <c r="E363" s="197"/>
      <c r="F363" s="41"/>
    </row>
    <row r="364" spans="1:10" ht="66" customHeight="1" x14ac:dyDescent="0.25">
      <c r="A364" s="21" t="s">
        <v>549</v>
      </c>
      <c r="B364" s="22" t="s">
        <v>118</v>
      </c>
      <c r="C364" s="23"/>
      <c r="D364" s="18" t="s">
        <v>587</v>
      </c>
      <c r="E364" s="197">
        <v>2400</v>
      </c>
      <c r="F364" s="41">
        <f>C364*E364</f>
        <v>0</v>
      </c>
    </row>
    <row r="365" spans="1:10" ht="110.4" x14ac:dyDescent="0.25">
      <c r="A365" s="21" t="s">
        <v>550</v>
      </c>
      <c r="B365" s="22" t="s">
        <v>588</v>
      </c>
      <c r="C365" s="23"/>
      <c r="D365" s="18" t="s">
        <v>587</v>
      </c>
      <c r="E365" s="197">
        <v>1450</v>
      </c>
      <c r="F365" s="41">
        <f>C365*E365</f>
        <v>0</v>
      </c>
      <c r="H365" s="24">
        <f>1260*1.15</f>
        <v>1449</v>
      </c>
      <c r="I365" s="24">
        <f>12.96*10.76</f>
        <v>139.4496</v>
      </c>
    </row>
    <row r="366" spans="1:10" ht="96.6" x14ac:dyDescent="0.25">
      <c r="A366" s="21" t="s">
        <v>551</v>
      </c>
      <c r="B366" s="22" t="s">
        <v>589</v>
      </c>
      <c r="C366" s="23"/>
      <c r="D366" s="18" t="s">
        <v>587</v>
      </c>
      <c r="E366" s="197">
        <v>1265</v>
      </c>
      <c r="F366" s="41">
        <f t="shared" ref="F366:F369" si="45">C366*E366</f>
        <v>0</v>
      </c>
      <c r="H366" s="24">
        <v>1100</v>
      </c>
      <c r="I366" s="24">
        <f>+H366*1.15</f>
        <v>1265</v>
      </c>
      <c r="J366" s="24">
        <f>68.58*10.76</f>
        <v>737.92079999999999</v>
      </c>
    </row>
    <row r="367" spans="1:10" ht="138" x14ac:dyDescent="0.25">
      <c r="A367" s="21" t="s">
        <v>552</v>
      </c>
      <c r="B367" s="22" t="s">
        <v>590</v>
      </c>
      <c r="C367" s="23"/>
      <c r="D367" s="18" t="s">
        <v>587</v>
      </c>
      <c r="E367" s="197">
        <v>1305.25</v>
      </c>
      <c r="F367" s="41">
        <f t="shared" si="45"/>
        <v>0</v>
      </c>
      <c r="H367" s="24">
        <v>1135</v>
      </c>
      <c r="I367" s="24">
        <f>+H367*1.15</f>
        <v>1305.25</v>
      </c>
      <c r="J367" s="24">
        <f>14.04*10.76</f>
        <v>151.07039999999998</v>
      </c>
    </row>
    <row r="368" spans="1:10" ht="41.4" x14ac:dyDescent="0.25">
      <c r="A368" s="21" t="s">
        <v>553</v>
      </c>
      <c r="B368" s="22" t="s">
        <v>591</v>
      </c>
      <c r="C368" s="23"/>
      <c r="D368" s="18" t="s">
        <v>587</v>
      </c>
      <c r="E368" s="197">
        <v>1178</v>
      </c>
      <c r="F368" s="41">
        <f t="shared" si="45"/>
        <v>0</v>
      </c>
      <c r="H368" s="24">
        <v>1025</v>
      </c>
      <c r="I368" s="24">
        <f>+H368*1.15</f>
        <v>1178.75</v>
      </c>
      <c r="J368" s="24">
        <f>3.18*10.76</f>
        <v>34.216799999999999</v>
      </c>
    </row>
    <row r="369" spans="1:9" ht="41.4" x14ac:dyDescent="0.25">
      <c r="A369" s="21" t="s">
        <v>554</v>
      </c>
      <c r="B369" s="22" t="s">
        <v>605</v>
      </c>
      <c r="C369" s="23"/>
      <c r="D369" s="18" t="s">
        <v>587</v>
      </c>
      <c r="E369" s="197">
        <v>1452</v>
      </c>
      <c r="F369" s="41">
        <f t="shared" si="45"/>
        <v>0</v>
      </c>
      <c r="H369" s="24">
        <f>6*12+13*12*5</f>
        <v>852</v>
      </c>
    </row>
    <row r="370" spans="1:9" x14ac:dyDescent="0.25">
      <c r="A370" s="21"/>
      <c r="B370" s="22"/>
      <c r="C370" s="23"/>
      <c r="D370" s="18"/>
      <c r="E370" s="197"/>
      <c r="F370" s="41"/>
    </row>
    <row r="371" spans="1:9" x14ac:dyDescent="0.25">
      <c r="A371" s="21"/>
      <c r="B371" s="22"/>
      <c r="C371" s="23"/>
      <c r="D371" s="18"/>
      <c r="E371" s="197"/>
      <c r="F371" s="41"/>
    </row>
    <row r="372" spans="1:9" x14ac:dyDescent="0.25">
      <c r="A372" s="21"/>
      <c r="B372" s="22"/>
      <c r="C372" s="23"/>
      <c r="D372" s="18"/>
      <c r="E372" s="197"/>
      <c r="F372" s="41"/>
    </row>
    <row r="373" spans="1:9" ht="15.6" x14ac:dyDescent="0.25">
      <c r="A373" s="21"/>
      <c r="B373" s="32"/>
      <c r="C373" s="23"/>
      <c r="D373" s="18"/>
      <c r="E373" s="197"/>
      <c r="F373" s="41"/>
      <c r="H373" s="24" t="s">
        <v>592</v>
      </c>
    </row>
    <row r="374" spans="1:9" ht="15.6" x14ac:dyDescent="0.25">
      <c r="A374" s="21"/>
      <c r="B374" s="32"/>
      <c r="C374" s="23"/>
      <c r="D374" s="18"/>
      <c r="E374" s="197"/>
      <c r="F374" s="41"/>
    </row>
    <row r="375" spans="1:9" ht="15.6" x14ac:dyDescent="0.25">
      <c r="A375" s="21"/>
      <c r="B375" s="32"/>
      <c r="C375" s="23"/>
      <c r="D375" s="18"/>
      <c r="E375" s="197"/>
      <c r="F375" s="41"/>
    </row>
    <row r="376" spans="1:9" s="12" customFormat="1" x14ac:dyDescent="0.25">
      <c r="A376" s="102"/>
      <c r="B376" s="103" t="s">
        <v>46</v>
      </c>
      <c r="C376" s="104"/>
      <c r="D376" s="105"/>
      <c r="E376" s="199"/>
      <c r="F376" s="106">
        <f>SUM(F364:F375)</f>
        <v>0</v>
      </c>
    </row>
    <row r="377" spans="1:9" s="12" customFormat="1" ht="28.05" customHeight="1" x14ac:dyDescent="0.25">
      <c r="A377" s="15"/>
      <c r="B377" s="32" t="s">
        <v>241</v>
      </c>
      <c r="C377" s="33"/>
      <c r="D377" s="18"/>
      <c r="E377" s="197"/>
      <c r="F377" s="41"/>
    </row>
    <row r="378" spans="1:9" x14ac:dyDescent="0.25">
      <c r="A378" s="21"/>
      <c r="B378" s="22"/>
      <c r="C378" s="23"/>
      <c r="D378" s="18"/>
      <c r="E378" s="197"/>
      <c r="F378" s="41"/>
    </row>
    <row r="379" spans="1:9" ht="27.6" x14ac:dyDescent="0.25">
      <c r="A379" s="21" t="s">
        <v>242</v>
      </c>
      <c r="B379" s="22" t="s">
        <v>122</v>
      </c>
      <c r="C379" s="23"/>
      <c r="D379" s="18" t="s">
        <v>129</v>
      </c>
      <c r="E379" s="197">
        <v>4845</v>
      </c>
      <c r="F379" s="41">
        <f t="shared" ref="F379:F384" si="46">C379*E379</f>
        <v>0</v>
      </c>
      <c r="H379" s="24">
        <f>+C379*10.76/100</f>
        <v>0</v>
      </c>
      <c r="I379" s="24">
        <v>14.3</v>
      </c>
    </row>
    <row r="380" spans="1:9" ht="41.4" x14ac:dyDescent="0.25">
      <c r="A380" s="21" t="s">
        <v>243</v>
      </c>
      <c r="B380" s="22" t="s">
        <v>123</v>
      </c>
      <c r="C380" s="23"/>
      <c r="D380" s="18" t="s">
        <v>129</v>
      </c>
      <c r="E380" s="197">
        <v>14525</v>
      </c>
      <c r="F380" s="41">
        <f t="shared" si="46"/>
        <v>0</v>
      </c>
      <c r="H380" s="24">
        <f>+C380*10.76/100</f>
        <v>0</v>
      </c>
      <c r="I380" s="24">
        <v>2.14</v>
      </c>
    </row>
    <row r="381" spans="1:9" ht="151.80000000000001" x14ac:dyDescent="0.25">
      <c r="A381" s="21" t="s">
        <v>244</v>
      </c>
      <c r="B381" s="22" t="s">
        <v>379</v>
      </c>
      <c r="C381" s="23"/>
      <c r="D381" s="18" t="s">
        <v>373</v>
      </c>
      <c r="E381" s="197">
        <v>710</v>
      </c>
      <c r="F381" s="41">
        <f t="shared" si="46"/>
        <v>0</v>
      </c>
      <c r="H381" s="24">
        <f>+C381*3.28</f>
        <v>0</v>
      </c>
      <c r="I381" s="24">
        <v>44</v>
      </c>
    </row>
    <row r="382" spans="1:9" ht="82.8" x14ac:dyDescent="0.25">
      <c r="A382" s="21" t="s">
        <v>245</v>
      </c>
      <c r="B382" s="22" t="s">
        <v>380</v>
      </c>
      <c r="C382" s="23"/>
      <c r="D382" s="18" t="s">
        <v>373</v>
      </c>
      <c r="E382" s="197">
        <v>529</v>
      </c>
      <c r="F382" s="41">
        <f t="shared" si="46"/>
        <v>0</v>
      </c>
      <c r="H382" s="24">
        <f t="shared" ref="H382:H383" si="47">+C382*3.28</f>
        <v>0</v>
      </c>
      <c r="I382" s="24">
        <v>243</v>
      </c>
    </row>
    <row r="383" spans="1:9" x14ac:dyDescent="0.25">
      <c r="A383" s="21" t="s">
        <v>246</v>
      </c>
      <c r="B383" s="22" t="s">
        <v>107</v>
      </c>
      <c r="C383" s="23"/>
      <c r="D383" s="18" t="s">
        <v>373</v>
      </c>
      <c r="E383" s="197">
        <v>1075</v>
      </c>
      <c r="F383" s="41">
        <f t="shared" si="46"/>
        <v>0</v>
      </c>
      <c r="H383" s="24">
        <f t="shared" si="47"/>
        <v>0</v>
      </c>
      <c r="I383" s="24">
        <v>44</v>
      </c>
    </row>
    <row r="384" spans="1:9" ht="41.4" x14ac:dyDescent="0.25">
      <c r="A384" s="21" t="s">
        <v>247</v>
      </c>
      <c r="B384" s="22" t="s">
        <v>378</v>
      </c>
      <c r="C384" s="23"/>
      <c r="D384" s="18" t="s">
        <v>373</v>
      </c>
      <c r="E384" s="197">
        <v>488</v>
      </c>
      <c r="F384" s="41">
        <f t="shared" si="46"/>
        <v>0</v>
      </c>
    </row>
    <row r="385" spans="1:6" x14ac:dyDescent="0.25">
      <c r="A385" s="21"/>
      <c r="B385" s="22"/>
      <c r="C385" s="23"/>
      <c r="D385" s="18"/>
      <c r="E385" s="197"/>
      <c r="F385" s="41"/>
    </row>
    <row r="386" spans="1:6" x14ac:dyDescent="0.25">
      <c r="A386" s="21"/>
      <c r="B386" s="22"/>
      <c r="C386" s="23"/>
      <c r="D386" s="18"/>
      <c r="E386" s="197"/>
      <c r="F386" s="41"/>
    </row>
    <row r="387" spans="1:6" s="12" customFormat="1" x14ac:dyDescent="0.25">
      <c r="A387" s="102"/>
      <c r="B387" s="103" t="s">
        <v>46</v>
      </c>
      <c r="C387" s="104"/>
      <c r="D387" s="105"/>
      <c r="E387" s="199"/>
      <c r="F387" s="106">
        <f>SUM(F379:F386)</f>
        <v>0</v>
      </c>
    </row>
    <row r="388" spans="1:6" s="12" customFormat="1" ht="28.05" customHeight="1" x14ac:dyDescent="0.25">
      <c r="A388" s="15"/>
      <c r="B388" s="32" t="s">
        <v>248</v>
      </c>
      <c r="C388" s="33"/>
      <c r="D388" s="18"/>
      <c r="E388" s="197"/>
      <c r="F388" s="41"/>
    </row>
    <row r="389" spans="1:6" ht="112.05" customHeight="1" x14ac:dyDescent="0.25">
      <c r="A389" s="21" t="s">
        <v>249</v>
      </c>
      <c r="B389" s="22" t="s">
        <v>382</v>
      </c>
      <c r="C389" s="23"/>
      <c r="D389" s="18" t="s">
        <v>168</v>
      </c>
      <c r="E389" s="197">
        <v>16550</v>
      </c>
      <c r="F389" s="41">
        <f>+C389*E389</f>
        <v>0</v>
      </c>
    </row>
    <row r="390" spans="1:6" ht="128.1" customHeight="1" x14ac:dyDescent="0.25">
      <c r="A390" s="21" t="s">
        <v>250</v>
      </c>
      <c r="B390" s="22" t="s">
        <v>383</v>
      </c>
      <c r="C390" s="23"/>
      <c r="D390" s="18" t="s">
        <v>168</v>
      </c>
      <c r="E390" s="197">
        <v>24840</v>
      </c>
      <c r="F390" s="41">
        <f t="shared" ref="F390:F410" si="48">+C390*E390</f>
        <v>0</v>
      </c>
    </row>
    <row r="391" spans="1:6" ht="50.25" customHeight="1" x14ac:dyDescent="0.25">
      <c r="A391" s="21" t="s">
        <v>251</v>
      </c>
      <c r="B391" s="22" t="s">
        <v>394</v>
      </c>
      <c r="C391" s="23"/>
      <c r="D391" s="18" t="s">
        <v>168</v>
      </c>
      <c r="E391" s="197">
        <v>16940</v>
      </c>
      <c r="F391" s="41">
        <f t="shared" si="48"/>
        <v>0</v>
      </c>
    </row>
    <row r="392" spans="1:6" ht="82.8" x14ac:dyDescent="0.25">
      <c r="A392" s="21" t="s">
        <v>252</v>
      </c>
      <c r="B392" s="22" t="s">
        <v>395</v>
      </c>
      <c r="C392" s="23"/>
      <c r="D392" s="18" t="s">
        <v>168</v>
      </c>
      <c r="E392" s="197">
        <v>10760</v>
      </c>
      <c r="F392" s="41">
        <f t="shared" si="48"/>
        <v>0</v>
      </c>
    </row>
    <row r="393" spans="1:6" ht="69" x14ac:dyDescent="0.25">
      <c r="A393" s="21" t="s">
        <v>253</v>
      </c>
      <c r="B393" s="22" t="s">
        <v>381</v>
      </c>
      <c r="C393" s="23"/>
      <c r="D393" s="18" t="s">
        <v>168</v>
      </c>
      <c r="E393" s="197">
        <v>9140</v>
      </c>
      <c r="F393" s="41">
        <f t="shared" si="48"/>
        <v>0</v>
      </c>
    </row>
    <row r="394" spans="1:6" ht="41.4" x14ac:dyDescent="0.25">
      <c r="A394" s="21" t="s">
        <v>254</v>
      </c>
      <c r="B394" s="22" t="s">
        <v>384</v>
      </c>
      <c r="C394" s="23"/>
      <c r="D394" s="18" t="s">
        <v>168</v>
      </c>
      <c r="E394" s="197">
        <v>33880</v>
      </c>
      <c r="F394" s="41">
        <f t="shared" si="48"/>
        <v>0</v>
      </c>
    </row>
    <row r="395" spans="1:6" ht="41.4" x14ac:dyDescent="0.25">
      <c r="A395" s="21" t="s">
        <v>255</v>
      </c>
      <c r="B395" s="22" t="s">
        <v>385</v>
      </c>
      <c r="C395" s="23"/>
      <c r="D395" s="18" t="s">
        <v>168</v>
      </c>
      <c r="E395" s="197">
        <v>2385</v>
      </c>
      <c r="F395" s="41">
        <f t="shared" si="48"/>
        <v>0</v>
      </c>
    </row>
    <row r="396" spans="1:6" ht="41.4" x14ac:dyDescent="0.25">
      <c r="A396" s="21" t="s">
        <v>256</v>
      </c>
      <c r="B396" s="22" t="s">
        <v>386</v>
      </c>
      <c r="C396" s="23"/>
      <c r="D396" s="18" t="s">
        <v>168</v>
      </c>
      <c r="E396" s="197">
        <v>2830</v>
      </c>
      <c r="F396" s="41">
        <f t="shared" si="48"/>
        <v>0</v>
      </c>
    </row>
    <row r="397" spans="1:6" ht="55.05" customHeight="1" x14ac:dyDescent="0.25">
      <c r="A397" s="21" t="s">
        <v>257</v>
      </c>
      <c r="B397" s="22" t="s">
        <v>387</v>
      </c>
      <c r="C397" s="23"/>
      <c r="D397" s="18" t="s">
        <v>168</v>
      </c>
      <c r="E397" s="197">
        <v>4370</v>
      </c>
      <c r="F397" s="41">
        <f t="shared" si="48"/>
        <v>0</v>
      </c>
    </row>
    <row r="398" spans="1:6" ht="41.4" x14ac:dyDescent="0.25">
      <c r="A398" s="21" t="s">
        <v>258</v>
      </c>
      <c r="B398" s="22" t="s">
        <v>388</v>
      </c>
      <c r="C398" s="23"/>
      <c r="D398" s="18" t="s">
        <v>168</v>
      </c>
      <c r="E398" s="197">
        <v>3640</v>
      </c>
      <c r="F398" s="41">
        <f t="shared" si="48"/>
        <v>0</v>
      </c>
    </row>
    <row r="399" spans="1:6" ht="41.4" x14ac:dyDescent="0.25">
      <c r="A399" s="21" t="s">
        <v>259</v>
      </c>
      <c r="B399" s="22" t="s">
        <v>389</v>
      </c>
      <c r="C399" s="23"/>
      <c r="D399" s="18" t="s">
        <v>168</v>
      </c>
      <c r="E399" s="197">
        <v>4215</v>
      </c>
      <c r="F399" s="41">
        <f t="shared" si="48"/>
        <v>0</v>
      </c>
    </row>
    <row r="400" spans="1:6" ht="41.4" x14ac:dyDescent="0.25">
      <c r="A400" s="21" t="s">
        <v>260</v>
      </c>
      <c r="B400" s="22" t="s">
        <v>390</v>
      </c>
      <c r="C400" s="23"/>
      <c r="D400" s="18" t="s">
        <v>168</v>
      </c>
      <c r="E400" s="197">
        <v>732</v>
      </c>
      <c r="F400" s="41">
        <f t="shared" si="48"/>
        <v>0</v>
      </c>
    </row>
    <row r="401" spans="1:9" s="12" customFormat="1" ht="25.05" customHeight="1" x14ac:dyDescent="0.25">
      <c r="A401" s="15"/>
      <c r="B401" s="19" t="s">
        <v>277</v>
      </c>
      <c r="C401" s="20"/>
      <c r="D401" s="18"/>
      <c r="E401" s="197"/>
      <c r="F401" s="41"/>
    </row>
    <row r="402" spans="1:9" s="12" customFormat="1" x14ac:dyDescent="0.25">
      <c r="A402" s="21" t="s">
        <v>261</v>
      </c>
      <c r="B402" s="27" t="s">
        <v>391</v>
      </c>
      <c r="C402" s="23"/>
      <c r="D402" s="18" t="s">
        <v>168</v>
      </c>
      <c r="E402" s="197">
        <v>1105</v>
      </c>
      <c r="F402" s="41">
        <f t="shared" si="48"/>
        <v>0</v>
      </c>
    </row>
    <row r="403" spans="1:9" s="12" customFormat="1" x14ac:dyDescent="0.25">
      <c r="A403" s="21"/>
      <c r="B403" s="27"/>
      <c r="C403" s="23"/>
      <c r="D403" s="18"/>
      <c r="E403" s="197"/>
      <c r="F403" s="41"/>
    </row>
    <row r="404" spans="1:9" s="12" customFormat="1" x14ac:dyDescent="0.25">
      <c r="A404" s="21"/>
      <c r="B404" s="27"/>
      <c r="C404" s="23"/>
      <c r="D404" s="18"/>
      <c r="E404" s="197"/>
      <c r="F404" s="41"/>
    </row>
    <row r="405" spans="1:9" s="12" customFormat="1" x14ac:dyDescent="0.25">
      <c r="A405" s="21"/>
      <c r="B405" s="27"/>
      <c r="C405" s="23"/>
      <c r="D405" s="18"/>
      <c r="E405" s="197"/>
      <c r="F405" s="41"/>
    </row>
    <row r="406" spans="1:9" s="12" customFormat="1" x14ac:dyDescent="0.25">
      <c r="A406" s="102"/>
      <c r="B406" s="103" t="s">
        <v>46</v>
      </c>
      <c r="C406" s="104"/>
      <c r="D406" s="105"/>
      <c r="E406" s="199"/>
      <c r="F406" s="106">
        <f>SUM(F389:F404)</f>
        <v>0</v>
      </c>
    </row>
    <row r="407" spans="1:9" s="12" customFormat="1" x14ac:dyDescent="0.25">
      <c r="A407" s="21"/>
      <c r="B407" s="19" t="s">
        <v>262</v>
      </c>
      <c r="C407" s="23"/>
      <c r="D407" s="18"/>
      <c r="E407" s="197"/>
      <c r="F407" s="41"/>
    </row>
    <row r="408" spans="1:9" s="12" customFormat="1" x14ac:dyDescent="0.25">
      <c r="A408" s="21"/>
      <c r="B408" s="27"/>
      <c r="C408" s="23"/>
      <c r="D408" s="18"/>
      <c r="E408" s="197"/>
      <c r="F408" s="41"/>
    </row>
    <row r="409" spans="1:9" s="12" customFormat="1" ht="25.05" customHeight="1" x14ac:dyDescent="0.25">
      <c r="A409" s="15"/>
      <c r="B409" s="19" t="s">
        <v>278</v>
      </c>
      <c r="C409" s="20"/>
      <c r="D409" s="18"/>
      <c r="E409" s="197"/>
      <c r="F409" s="41"/>
    </row>
    <row r="410" spans="1:9" ht="41.4" x14ac:dyDescent="0.25">
      <c r="A410" s="21" t="s">
        <v>263</v>
      </c>
      <c r="B410" s="22" t="s">
        <v>280</v>
      </c>
      <c r="C410" s="23"/>
      <c r="D410" s="18" t="s">
        <v>168</v>
      </c>
      <c r="E410" s="197">
        <v>72470</v>
      </c>
      <c r="F410" s="41">
        <f t="shared" si="48"/>
        <v>0</v>
      </c>
    </row>
    <row r="411" spans="1:9" ht="38.1" hidden="1" customHeight="1" x14ac:dyDescent="0.25">
      <c r="A411" s="21" t="s">
        <v>279</v>
      </c>
      <c r="B411" s="22" t="s">
        <v>281</v>
      </c>
      <c r="C411" s="23"/>
      <c r="D411" s="18" t="s">
        <v>282</v>
      </c>
      <c r="E411" s="197"/>
      <c r="F411" s="41"/>
    </row>
    <row r="412" spans="1:9" s="12" customFormat="1" ht="28.05" customHeight="1" x14ac:dyDescent="0.25">
      <c r="A412" s="15"/>
      <c r="B412" s="19" t="s">
        <v>283</v>
      </c>
      <c r="C412" s="20"/>
      <c r="D412" s="18"/>
      <c r="E412" s="197"/>
      <c r="F412" s="41"/>
    </row>
    <row r="413" spans="1:9" s="12" customFormat="1" ht="28.05" customHeight="1" x14ac:dyDescent="0.25">
      <c r="A413" s="15"/>
      <c r="B413" s="25" t="s">
        <v>284</v>
      </c>
      <c r="C413" s="26"/>
      <c r="D413" s="18"/>
      <c r="E413" s="197"/>
      <c r="F413" s="41"/>
    </row>
    <row r="414" spans="1:9" s="12" customFormat="1" ht="28.05" customHeight="1" x14ac:dyDescent="0.25">
      <c r="A414" s="15"/>
      <c r="B414" s="19" t="s">
        <v>285</v>
      </c>
      <c r="C414" s="20"/>
      <c r="D414" s="18"/>
      <c r="E414" s="197"/>
      <c r="F414" s="41"/>
    </row>
    <row r="415" spans="1:9" ht="38.1" customHeight="1" x14ac:dyDescent="0.25">
      <c r="A415" s="21" t="s">
        <v>264</v>
      </c>
      <c r="B415" s="22" t="s">
        <v>606</v>
      </c>
      <c r="C415" s="23"/>
      <c r="D415" s="18" t="s">
        <v>167</v>
      </c>
      <c r="E415" s="197">
        <v>68</v>
      </c>
      <c r="F415" s="41">
        <f>+C415*E415</f>
        <v>0</v>
      </c>
    </row>
    <row r="416" spans="1:9" ht="38.1" customHeight="1" x14ac:dyDescent="0.25">
      <c r="A416" s="21" t="s">
        <v>265</v>
      </c>
      <c r="B416" s="22" t="s">
        <v>607</v>
      </c>
      <c r="C416" s="23"/>
      <c r="D416" s="18" t="s">
        <v>167</v>
      </c>
      <c r="E416" s="197">
        <v>103</v>
      </c>
      <c r="F416" s="41">
        <f t="shared" ref="F416:F431" si="49">+C416*E416</f>
        <v>0</v>
      </c>
      <c r="I416" s="24">
        <v>78.72</v>
      </c>
    </row>
    <row r="417" spans="1:9" ht="38.1" customHeight="1" x14ac:dyDescent="0.25">
      <c r="A417" s="21" t="s">
        <v>266</v>
      </c>
      <c r="B417" s="22" t="s">
        <v>608</v>
      </c>
      <c r="C417" s="23"/>
      <c r="D417" s="18" t="s">
        <v>167</v>
      </c>
      <c r="E417" s="197">
        <v>121</v>
      </c>
      <c r="F417" s="41">
        <f t="shared" si="49"/>
        <v>0</v>
      </c>
      <c r="I417" s="24">
        <v>32.799999999999997</v>
      </c>
    </row>
    <row r="418" spans="1:9" ht="38.1" customHeight="1" x14ac:dyDescent="0.25">
      <c r="A418" s="21" t="s">
        <v>267</v>
      </c>
      <c r="B418" s="22" t="s">
        <v>609</v>
      </c>
      <c r="C418" s="23"/>
      <c r="D418" s="18" t="s">
        <v>167</v>
      </c>
      <c r="E418" s="197">
        <v>147</v>
      </c>
      <c r="F418" s="41">
        <f t="shared" si="49"/>
        <v>0</v>
      </c>
      <c r="I418" s="24">
        <v>170.56</v>
      </c>
    </row>
    <row r="419" spans="1:9" ht="38.1" customHeight="1" x14ac:dyDescent="0.25">
      <c r="A419" s="21" t="s">
        <v>268</v>
      </c>
      <c r="B419" s="22" t="s">
        <v>610</v>
      </c>
      <c r="C419" s="23"/>
      <c r="D419" s="18" t="s">
        <v>167</v>
      </c>
      <c r="E419" s="197">
        <v>303</v>
      </c>
      <c r="F419" s="41">
        <f t="shared" si="49"/>
        <v>0</v>
      </c>
      <c r="I419" s="24">
        <v>183.67999999999998</v>
      </c>
    </row>
    <row r="420" spans="1:9" s="12" customFormat="1" ht="28.05" customHeight="1" x14ac:dyDescent="0.25">
      <c r="A420" s="15"/>
      <c r="B420" s="19" t="s">
        <v>286</v>
      </c>
      <c r="C420" s="20"/>
      <c r="D420" s="18"/>
      <c r="E420" s="197"/>
      <c r="F420" s="41"/>
    </row>
    <row r="421" spans="1:9" s="12" customFormat="1" x14ac:dyDescent="0.25">
      <c r="A421" s="21" t="s">
        <v>269</v>
      </c>
      <c r="B421" s="27" t="s">
        <v>287</v>
      </c>
      <c r="C421" s="28"/>
      <c r="D421" s="18" t="s">
        <v>167</v>
      </c>
      <c r="E421" s="197">
        <v>153</v>
      </c>
      <c r="F421" s="41">
        <f t="shared" si="49"/>
        <v>0</v>
      </c>
      <c r="H421" s="12">
        <v>10</v>
      </c>
      <c r="I421" s="12">
        <f>+H421*3.28</f>
        <v>32.799999999999997</v>
      </c>
    </row>
    <row r="422" spans="1:9" s="12" customFormat="1" x14ac:dyDescent="0.25">
      <c r="A422" s="21" t="s">
        <v>270</v>
      </c>
      <c r="B422" s="27" t="s">
        <v>288</v>
      </c>
      <c r="C422" s="28"/>
      <c r="D422" s="18" t="s">
        <v>167</v>
      </c>
      <c r="E422" s="197">
        <v>175</v>
      </c>
      <c r="F422" s="41">
        <f t="shared" si="49"/>
        <v>0</v>
      </c>
      <c r="H422" s="12">
        <v>52</v>
      </c>
      <c r="I422" s="12">
        <f t="shared" ref="I422:I423" si="50">+H422*3.28</f>
        <v>170.56</v>
      </c>
    </row>
    <row r="423" spans="1:9" s="12" customFormat="1" x14ac:dyDescent="0.25">
      <c r="A423" s="21" t="s">
        <v>271</v>
      </c>
      <c r="B423" s="27" t="s">
        <v>289</v>
      </c>
      <c r="C423" s="28"/>
      <c r="D423" s="18" t="s">
        <v>167</v>
      </c>
      <c r="E423" s="197">
        <v>251</v>
      </c>
      <c r="F423" s="41">
        <f t="shared" si="49"/>
        <v>0</v>
      </c>
      <c r="H423" s="12">
        <v>24</v>
      </c>
      <c r="I423" s="12">
        <f t="shared" si="50"/>
        <v>78.72</v>
      </c>
    </row>
    <row r="424" spans="1:9" s="12" customFormat="1" ht="28.05" customHeight="1" x14ac:dyDescent="0.25">
      <c r="A424" s="15"/>
      <c r="B424" s="19" t="s">
        <v>290</v>
      </c>
      <c r="C424" s="20"/>
      <c r="D424" s="18"/>
      <c r="E424" s="197"/>
      <c r="F424" s="41"/>
    </row>
    <row r="425" spans="1:9" ht="55.05" customHeight="1" x14ac:dyDescent="0.25">
      <c r="A425" s="21" t="s">
        <v>272</v>
      </c>
      <c r="B425" s="22" t="s">
        <v>291</v>
      </c>
      <c r="C425" s="23"/>
      <c r="D425" s="18" t="s">
        <v>167</v>
      </c>
      <c r="E425" s="197">
        <v>1190</v>
      </c>
      <c r="F425" s="41">
        <f t="shared" si="49"/>
        <v>0</v>
      </c>
      <c r="H425" s="24">
        <f>40*3.28</f>
        <v>131.19999999999999</v>
      </c>
    </row>
    <row r="426" spans="1:9" ht="38.1" customHeight="1" x14ac:dyDescent="0.25">
      <c r="A426" s="21" t="s">
        <v>273</v>
      </c>
      <c r="B426" s="22" t="s">
        <v>292</v>
      </c>
      <c r="C426" s="23"/>
      <c r="D426" s="18" t="s">
        <v>167</v>
      </c>
      <c r="E426" s="197">
        <v>699</v>
      </c>
      <c r="F426" s="41">
        <f t="shared" si="49"/>
        <v>0</v>
      </c>
      <c r="H426" s="24">
        <f>25*3.28</f>
        <v>82</v>
      </c>
    </row>
    <row r="427" spans="1:9" s="12" customFormat="1" ht="28.05" customHeight="1" x14ac:dyDescent="0.25">
      <c r="A427" s="15"/>
      <c r="B427" s="19" t="s">
        <v>293</v>
      </c>
      <c r="C427" s="20"/>
      <c r="D427" s="18"/>
      <c r="E427" s="197"/>
      <c r="F427" s="41"/>
    </row>
    <row r="428" spans="1:9" ht="160.05000000000001" customHeight="1" x14ac:dyDescent="0.25">
      <c r="A428" s="21" t="s">
        <v>274</v>
      </c>
      <c r="B428" s="22" t="s">
        <v>392</v>
      </c>
      <c r="C428" s="23"/>
      <c r="D428" s="18" t="s">
        <v>168</v>
      </c>
      <c r="E428" s="197">
        <v>24260</v>
      </c>
      <c r="F428" s="41">
        <f t="shared" si="49"/>
        <v>0</v>
      </c>
    </row>
    <row r="429" spans="1:9" s="12" customFormat="1" ht="28.05" customHeight="1" x14ac:dyDescent="0.25">
      <c r="A429" s="15"/>
      <c r="B429" s="19" t="s">
        <v>154</v>
      </c>
      <c r="C429" s="20"/>
      <c r="D429" s="18"/>
      <c r="E429" s="197"/>
      <c r="F429" s="41"/>
    </row>
    <row r="430" spans="1:9" s="12" customFormat="1" x14ac:dyDescent="0.25">
      <c r="A430" s="21" t="s">
        <v>275</v>
      </c>
      <c r="B430" s="27" t="s">
        <v>294</v>
      </c>
      <c r="C430" s="28"/>
      <c r="D430" s="18" t="s">
        <v>13</v>
      </c>
      <c r="E430" s="197">
        <v>1000</v>
      </c>
      <c r="F430" s="41">
        <f t="shared" si="49"/>
        <v>0</v>
      </c>
    </row>
    <row r="431" spans="1:9" s="12" customFormat="1" x14ac:dyDescent="0.25">
      <c r="A431" s="21" t="s">
        <v>276</v>
      </c>
      <c r="B431" s="27" t="s">
        <v>295</v>
      </c>
      <c r="C431" s="28"/>
      <c r="D431" s="18" t="s">
        <v>13</v>
      </c>
      <c r="E431" s="197">
        <v>4000</v>
      </c>
      <c r="F431" s="41">
        <f t="shared" si="49"/>
        <v>0</v>
      </c>
    </row>
    <row r="432" spans="1:9" s="12" customFormat="1" x14ac:dyDescent="0.25">
      <c r="A432" s="21"/>
      <c r="B432" s="27"/>
      <c r="C432" s="28"/>
      <c r="D432" s="18"/>
      <c r="E432" s="197"/>
      <c r="F432" s="41"/>
    </row>
    <row r="433" spans="1:6" s="12" customFormat="1" x14ac:dyDescent="0.25">
      <c r="A433" s="21"/>
      <c r="B433" s="27"/>
      <c r="C433" s="28"/>
      <c r="D433" s="18"/>
      <c r="E433" s="197"/>
      <c r="F433" s="41"/>
    </row>
    <row r="434" spans="1:6" s="12" customFormat="1" x14ac:dyDescent="0.25">
      <c r="A434" s="21"/>
      <c r="B434" s="27"/>
      <c r="C434" s="28"/>
      <c r="D434" s="18"/>
      <c r="E434" s="197"/>
      <c r="F434" s="41"/>
    </row>
    <row r="435" spans="1:6" s="12" customFormat="1" x14ac:dyDescent="0.25">
      <c r="A435" s="21"/>
      <c r="B435" s="27"/>
      <c r="C435" s="28"/>
      <c r="D435" s="18"/>
      <c r="E435" s="197"/>
      <c r="F435" s="41"/>
    </row>
    <row r="436" spans="1:6" s="12" customFormat="1" x14ac:dyDescent="0.25">
      <c r="A436" s="102"/>
      <c r="B436" s="103" t="s">
        <v>46</v>
      </c>
      <c r="C436" s="104"/>
      <c r="D436" s="105"/>
      <c r="E436" s="199"/>
      <c r="F436" s="106">
        <f>SUM(F415:F434)</f>
        <v>0</v>
      </c>
    </row>
    <row r="437" spans="1:6" s="12" customFormat="1" ht="28.05" customHeight="1" x14ac:dyDescent="0.25">
      <c r="A437" s="15"/>
      <c r="B437" s="32" t="s">
        <v>296</v>
      </c>
      <c r="C437" s="33"/>
      <c r="D437" s="18"/>
      <c r="E437" s="197"/>
      <c r="F437" s="41"/>
    </row>
    <row r="438" spans="1:6" s="12" customFormat="1" ht="28.05" customHeight="1" x14ac:dyDescent="0.25">
      <c r="A438" s="15"/>
      <c r="B438" s="32" t="s">
        <v>297</v>
      </c>
      <c r="C438" s="33"/>
      <c r="D438" s="18"/>
      <c r="E438" s="197"/>
      <c r="F438" s="41"/>
    </row>
    <row r="439" spans="1:6" ht="152.25" customHeight="1" x14ac:dyDescent="0.25">
      <c r="A439" s="21" t="s">
        <v>298</v>
      </c>
      <c r="B439" s="22" t="s">
        <v>300</v>
      </c>
      <c r="C439" s="23"/>
      <c r="D439" s="18" t="s">
        <v>168</v>
      </c>
      <c r="E439" s="197">
        <v>4965</v>
      </c>
      <c r="F439" s="41">
        <f t="shared" ref="F439:F449" si="51">+C439*E439</f>
        <v>0</v>
      </c>
    </row>
    <row r="440" spans="1:6" s="12" customFormat="1" ht="28.5" customHeight="1" x14ac:dyDescent="0.25">
      <c r="A440" s="15"/>
      <c r="B440" s="32" t="s">
        <v>305</v>
      </c>
      <c r="C440" s="33"/>
      <c r="D440" s="18"/>
      <c r="E440" s="197"/>
      <c r="F440" s="41"/>
    </row>
    <row r="441" spans="1:6" ht="156.75" customHeight="1" x14ac:dyDescent="0.25">
      <c r="A441" s="21" t="s">
        <v>299</v>
      </c>
      <c r="B441" s="22" t="s">
        <v>306</v>
      </c>
      <c r="C441" s="23"/>
      <c r="D441" s="18" t="s">
        <v>168</v>
      </c>
      <c r="E441" s="197">
        <v>20560</v>
      </c>
      <c r="F441" s="41">
        <f t="shared" si="51"/>
        <v>0</v>
      </c>
    </row>
    <row r="442" spans="1:6" s="12" customFormat="1" ht="28.05" customHeight="1" x14ac:dyDescent="0.25">
      <c r="A442" s="15"/>
      <c r="B442" s="32" t="s">
        <v>307</v>
      </c>
      <c r="C442" s="33"/>
      <c r="D442" s="18"/>
      <c r="E442" s="197"/>
      <c r="F442" s="41"/>
    </row>
    <row r="443" spans="1:6" ht="68.099999999999994" customHeight="1" x14ac:dyDescent="0.25">
      <c r="A443" s="21" t="s">
        <v>301</v>
      </c>
      <c r="B443" s="22" t="s">
        <v>308</v>
      </c>
      <c r="C443" s="23"/>
      <c r="D443" s="18" t="s">
        <v>141</v>
      </c>
      <c r="E443" s="197">
        <v>779</v>
      </c>
      <c r="F443" s="41">
        <f t="shared" si="51"/>
        <v>0</v>
      </c>
    </row>
    <row r="444" spans="1:6" s="12" customFormat="1" ht="28.05" customHeight="1" x14ac:dyDescent="0.25">
      <c r="A444" s="15"/>
      <c r="B444" s="32" t="s">
        <v>309</v>
      </c>
      <c r="C444" s="33"/>
      <c r="D444" s="18"/>
      <c r="E444" s="197"/>
      <c r="F444" s="41"/>
    </row>
    <row r="445" spans="1:6" ht="38.1" customHeight="1" x14ac:dyDescent="0.25">
      <c r="A445" s="21" t="s">
        <v>302</v>
      </c>
      <c r="B445" s="22" t="s">
        <v>310</v>
      </c>
      <c r="C445" s="23"/>
      <c r="D445" s="18" t="s">
        <v>168</v>
      </c>
      <c r="E445" s="197">
        <v>1730</v>
      </c>
      <c r="F445" s="41">
        <f t="shared" si="51"/>
        <v>0</v>
      </c>
    </row>
    <row r="446" spans="1:6" s="12" customFormat="1" ht="28.05" customHeight="1" x14ac:dyDescent="0.25">
      <c r="A446" s="15"/>
      <c r="B446" s="32" t="s">
        <v>311</v>
      </c>
      <c r="C446" s="33"/>
      <c r="D446" s="18"/>
      <c r="E446" s="197"/>
      <c r="F446" s="41"/>
    </row>
    <row r="447" spans="1:6" ht="38.1" customHeight="1" x14ac:dyDescent="0.25">
      <c r="A447" s="21" t="s">
        <v>303</v>
      </c>
      <c r="B447" s="22" t="s">
        <v>312</v>
      </c>
      <c r="C447" s="23"/>
      <c r="D447" s="18" t="s">
        <v>168</v>
      </c>
      <c r="E447" s="197">
        <v>65620</v>
      </c>
      <c r="F447" s="41">
        <f t="shared" si="51"/>
        <v>0</v>
      </c>
    </row>
    <row r="448" spans="1:6" s="12" customFormat="1" ht="28.05" customHeight="1" x14ac:dyDescent="0.25">
      <c r="A448" s="15"/>
      <c r="B448" s="32" t="s">
        <v>313</v>
      </c>
      <c r="C448" s="33"/>
      <c r="D448" s="18"/>
      <c r="E448" s="197"/>
      <c r="F448" s="41"/>
    </row>
    <row r="449" spans="1:6" ht="93" customHeight="1" x14ac:dyDescent="0.25">
      <c r="A449" s="21" t="s">
        <v>304</v>
      </c>
      <c r="B449" s="22" t="s">
        <v>393</v>
      </c>
      <c r="C449" s="23"/>
      <c r="D449" s="18" t="s">
        <v>168</v>
      </c>
      <c r="E449" s="197">
        <v>80570</v>
      </c>
      <c r="F449" s="41">
        <f t="shared" si="51"/>
        <v>0</v>
      </c>
    </row>
    <row r="450" spans="1:6" x14ac:dyDescent="0.25">
      <c r="A450" s="21"/>
      <c r="B450" s="22"/>
      <c r="C450" s="23"/>
      <c r="D450" s="18"/>
      <c r="E450" s="197"/>
      <c r="F450" s="41"/>
    </row>
    <row r="451" spans="1:6" x14ac:dyDescent="0.25">
      <c r="A451" s="21"/>
      <c r="B451" s="22"/>
      <c r="C451" s="23"/>
      <c r="D451" s="18"/>
      <c r="E451" s="197"/>
      <c r="F451" s="41"/>
    </row>
    <row r="452" spans="1:6" x14ac:dyDescent="0.25">
      <c r="A452" s="21"/>
      <c r="B452" s="22"/>
      <c r="C452" s="23"/>
      <c r="D452" s="18"/>
      <c r="E452" s="197"/>
      <c r="F452" s="41"/>
    </row>
    <row r="453" spans="1:6" s="12" customFormat="1" x14ac:dyDescent="0.25">
      <c r="A453" s="219"/>
      <c r="B453" s="220" t="s">
        <v>46</v>
      </c>
      <c r="C453" s="221"/>
      <c r="D453" s="222"/>
      <c r="E453" s="223"/>
      <c r="F453" s="224">
        <f>SUM(F439:F450)</f>
        <v>0</v>
      </c>
    </row>
    <row r="454" spans="1:6" s="12" customFormat="1" ht="28.05" customHeight="1" x14ac:dyDescent="0.25">
      <c r="A454" s="229"/>
      <c r="B454" s="234" t="s">
        <v>314</v>
      </c>
      <c r="C454" s="243"/>
      <c r="D454" s="250"/>
      <c r="E454" s="258"/>
      <c r="F454" s="230"/>
    </row>
    <row r="455" spans="1:6" x14ac:dyDescent="0.25">
      <c r="A455" s="226"/>
      <c r="B455" s="235"/>
      <c r="C455" s="244"/>
      <c r="D455" s="251"/>
      <c r="E455" s="259"/>
      <c r="F455" s="231"/>
    </row>
    <row r="456" spans="1:6" x14ac:dyDescent="0.25">
      <c r="A456" s="226"/>
      <c r="B456" s="235" t="s">
        <v>64</v>
      </c>
      <c r="C456" s="244"/>
      <c r="D456" s="251"/>
      <c r="E456" s="259"/>
      <c r="F456" s="231"/>
    </row>
    <row r="457" spans="1:6" x14ac:dyDescent="0.25">
      <c r="A457" s="226"/>
      <c r="B457" s="235" t="s">
        <v>65</v>
      </c>
      <c r="C457" s="244"/>
      <c r="D457" s="251"/>
      <c r="E457" s="259"/>
      <c r="F457" s="231"/>
    </row>
    <row r="458" spans="1:6" x14ac:dyDescent="0.25">
      <c r="A458" s="226"/>
      <c r="B458" s="235" t="s">
        <v>66</v>
      </c>
      <c r="C458" s="244"/>
      <c r="D458" s="251"/>
      <c r="E458" s="259"/>
      <c r="F458" s="231"/>
    </row>
    <row r="459" spans="1:6" x14ac:dyDescent="0.25">
      <c r="A459" s="226"/>
      <c r="B459" s="235"/>
      <c r="C459" s="244"/>
      <c r="D459" s="251"/>
      <c r="E459" s="259"/>
      <c r="F459" s="231"/>
    </row>
    <row r="460" spans="1:6" customFormat="1" ht="26.25" customHeight="1" x14ac:dyDescent="0.25">
      <c r="A460" s="264" t="s">
        <v>611</v>
      </c>
      <c r="B460" s="265" t="s">
        <v>612</v>
      </c>
      <c r="C460" s="266"/>
      <c r="D460" s="267"/>
      <c r="E460" s="268"/>
      <c r="F460" s="266"/>
    </row>
    <row r="461" spans="1:6" customFormat="1" ht="15" customHeight="1" x14ac:dyDescent="0.25">
      <c r="A461" s="267"/>
      <c r="B461" s="269" t="s">
        <v>613</v>
      </c>
      <c r="C461" s="266"/>
      <c r="D461" s="267"/>
      <c r="E461" s="268"/>
      <c r="F461" s="266"/>
    </row>
    <row r="462" spans="1:6" customFormat="1" ht="20.25" customHeight="1" x14ac:dyDescent="0.25">
      <c r="A462" s="270" t="s">
        <v>638</v>
      </c>
      <c r="B462" s="269" t="s">
        <v>614</v>
      </c>
      <c r="C462" s="271"/>
      <c r="D462" s="272" t="s">
        <v>79</v>
      </c>
      <c r="E462" s="268">
        <v>9900</v>
      </c>
      <c r="F462" s="268">
        <f t="shared" ref="F462:F476" si="52">E462*C462</f>
        <v>0</v>
      </c>
    </row>
    <row r="463" spans="1:6" customFormat="1" ht="23.25" customHeight="1" x14ac:dyDescent="0.25">
      <c r="A463" s="270" t="s">
        <v>639</v>
      </c>
      <c r="B463" s="269" t="s">
        <v>615</v>
      </c>
      <c r="C463" s="271"/>
      <c r="D463" s="272" t="s">
        <v>79</v>
      </c>
      <c r="E463" s="268">
        <v>148000</v>
      </c>
      <c r="F463" s="268">
        <v>126500</v>
      </c>
    </row>
    <row r="464" spans="1:6" customFormat="1" ht="18" customHeight="1" x14ac:dyDescent="0.25">
      <c r="A464" s="270" t="s">
        <v>640</v>
      </c>
      <c r="B464" s="269" t="s">
        <v>616</v>
      </c>
      <c r="C464" s="271"/>
      <c r="D464" s="272" t="s">
        <v>79</v>
      </c>
      <c r="E464" s="268">
        <v>5630</v>
      </c>
      <c r="F464" s="268">
        <f t="shared" si="52"/>
        <v>0</v>
      </c>
    </row>
    <row r="465" spans="1:6" customFormat="1" ht="20.25" customHeight="1" x14ac:dyDescent="0.25">
      <c r="A465" s="270" t="s">
        <v>641</v>
      </c>
      <c r="B465" s="269" t="s">
        <v>617</v>
      </c>
      <c r="C465" s="271"/>
      <c r="D465" s="272" t="s">
        <v>79</v>
      </c>
      <c r="E465" s="268">
        <v>3500</v>
      </c>
      <c r="F465" s="268">
        <f t="shared" si="52"/>
        <v>0</v>
      </c>
    </row>
    <row r="466" spans="1:6" customFormat="1" ht="19.5" customHeight="1" x14ac:dyDescent="0.25">
      <c r="A466" s="270" t="s">
        <v>642</v>
      </c>
      <c r="B466" s="269" t="s">
        <v>618</v>
      </c>
      <c r="C466" s="271"/>
      <c r="D466" s="272" t="s">
        <v>79</v>
      </c>
      <c r="E466" s="268">
        <v>1200</v>
      </c>
      <c r="F466" s="268">
        <f t="shared" si="52"/>
        <v>0</v>
      </c>
    </row>
    <row r="467" spans="1:6" customFormat="1" ht="19.5" customHeight="1" x14ac:dyDescent="0.25">
      <c r="A467" s="270" t="s">
        <v>643</v>
      </c>
      <c r="B467" s="269" t="s">
        <v>619</v>
      </c>
      <c r="C467" s="271"/>
      <c r="D467" s="272" t="s">
        <v>79</v>
      </c>
      <c r="E467" s="268">
        <v>2850</v>
      </c>
      <c r="F467" s="268">
        <f t="shared" si="52"/>
        <v>0</v>
      </c>
    </row>
    <row r="468" spans="1:6" customFormat="1" ht="18.75" customHeight="1" x14ac:dyDescent="0.25">
      <c r="A468" s="270" t="s">
        <v>644</v>
      </c>
      <c r="B468" s="269" t="s">
        <v>67</v>
      </c>
      <c r="C468" s="271"/>
      <c r="D468" s="272" t="s">
        <v>79</v>
      </c>
      <c r="E468" s="268">
        <v>16500</v>
      </c>
      <c r="F468" s="268">
        <f t="shared" si="52"/>
        <v>0</v>
      </c>
    </row>
    <row r="469" spans="1:6" customFormat="1" ht="21.75" customHeight="1" x14ac:dyDescent="0.25">
      <c r="A469" s="270" t="s">
        <v>645</v>
      </c>
      <c r="B469" s="269" t="s">
        <v>68</v>
      </c>
      <c r="C469" s="271"/>
      <c r="D469" s="272" t="s">
        <v>79</v>
      </c>
      <c r="E469" s="268">
        <v>8500</v>
      </c>
      <c r="F469" s="268">
        <f t="shared" si="52"/>
        <v>0</v>
      </c>
    </row>
    <row r="470" spans="1:6" customFormat="1" ht="18" customHeight="1" x14ac:dyDescent="0.25">
      <c r="A470" s="270" t="s">
        <v>646</v>
      </c>
      <c r="B470" s="269" t="s">
        <v>69</v>
      </c>
      <c r="C470" s="271"/>
      <c r="D470" s="272" t="s">
        <v>79</v>
      </c>
      <c r="E470" s="268">
        <v>1150</v>
      </c>
      <c r="F470" s="268">
        <f t="shared" si="52"/>
        <v>0</v>
      </c>
    </row>
    <row r="471" spans="1:6" customFormat="1" ht="30.75" customHeight="1" x14ac:dyDescent="0.25">
      <c r="A471" s="270" t="s">
        <v>647</v>
      </c>
      <c r="B471" s="269" t="s">
        <v>620</v>
      </c>
      <c r="C471" s="271"/>
      <c r="D471" s="272" t="s">
        <v>79</v>
      </c>
      <c r="E471" s="268">
        <v>1650</v>
      </c>
      <c r="F471" s="268">
        <f t="shared" si="52"/>
        <v>0</v>
      </c>
    </row>
    <row r="472" spans="1:6" customFormat="1" ht="30" customHeight="1" x14ac:dyDescent="0.25">
      <c r="A472" s="270" t="s">
        <v>648</v>
      </c>
      <c r="B472" s="269" t="s">
        <v>70</v>
      </c>
      <c r="C472" s="271"/>
      <c r="D472" s="272" t="s">
        <v>79</v>
      </c>
      <c r="E472" s="268">
        <v>1650</v>
      </c>
      <c r="F472" s="268">
        <f t="shared" si="52"/>
        <v>0</v>
      </c>
    </row>
    <row r="473" spans="1:6" customFormat="1" ht="30" customHeight="1" x14ac:dyDescent="0.25">
      <c r="A473" s="270" t="s">
        <v>649</v>
      </c>
      <c r="B473" s="269" t="s">
        <v>621</v>
      </c>
      <c r="C473" s="271"/>
      <c r="D473" s="272" t="s">
        <v>79</v>
      </c>
      <c r="E473" s="268">
        <v>4500</v>
      </c>
      <c r="F473" s="268">
        <f t="shared" si="52"/>
        <v>0</v>
      </c>
    </row>
    <row r="474" spans="1:6" customFormat="1" ht="30" customHeight="1" x14ac:dyDescent="0.25">
      <c r="A474" s="270" t="s">
        <v>650</v>
      </c>
      <c r="B474" s="269" t="s">
        <v>622</v>
      </c>
      <c r="C474" s="271"/>
      <c r="D474" s="272" t="s">
        <v>79</v>
      </c>
      <c r="E474" s="268">
        <v>2500</v>
      </c>
      <c r="F474" s="268">
        <f t="shared" si="52"/>
        <v>0</v>
      </c>
    </row>
    <row r="475" spans="1:6" customFormat="1" ht="30" customHeight="1" x14ac:dyDescent="0.25">
      <c r="A475" s="270" t="s">
        <v>651</v>
      </c>
      <c r="B475" s="269" t="s">
        <v>623</v>
      </c>
      <c r="C475" s="271"/>
      <c r="D475" s="272" t="s">
        <v>79</v>
      </c>
      <c r="E475" s="268">
        <v>23000</v>
      </c>
      <c r="F475" s="268">
        <f t="shared" si="52"/>
        <v>0</v>
      </c>
    </row>
    <row r="476" spans="1:6" customFormat="1" ht="42.75" customHeight="1" x14ac:dyDescent="0.25">
      <c r="A476" s="270" t="s">
        <v>652</v>
      </c>
      <c r="B476" s="269" t="s">
        <v>624</v>
      </c>
      <c r="C476" s="271"/>
      <c r="D476" s="272" t="s">
        <v>79</v>
      </c>
      <c r="E476" s="268">
        <v>35000</v>
      </c>
      <c r="F476" s="268">
        <f t="shared" si="52"/>
        <v>0</v>
      </c>
    </row>
    <row r="477" spans="1:6" customFormat="1" ht="13.2" x14ac:dyDescent="0.25">
      <c r="A477" s="267"/>
      <c r="B477" s="266"/>
      <c r="C477" s="266"/>
      <c r="D477" s="267"/>
      <c r="E477" s="268"/>
      <c r="F477" s="266"/>
    </row>
    <row r="478" spans="1:6" customFormat="1" thickBot="1" x14ac:dyDescent="0.3">
      <c r="A478" s="267"/>
      <c r="B478" s="266"/>
      <c r="C478" s="266"/>
      <c r="D478" s="267"/>
      <c r="E478" s="268"/>
      <c r="F478" s="279">
        <f>SUM(F462:F477)</f>
        <v>126500</v>
      </c>
    </row>
    <row r="479" spans="1:6" customFormat="1" thickTop="1" x14ac:dyDescent="0.25">
      <c r="A479" s="278" t="s">
        <v>625</v>
      </c>
      <c r="B479" s="273" t="s">
        <v>626</v>
      </c>
      <c r="C479" s="266"/>
      <c r="D479" s="267"/>
      <c r="E479" s="268"/>
      <c r="F479" s="266"/>
    </row>
    <row r="480" spans="1:6" customFormat="1" ht="13.2" x14ac:dyDescent="0.25">
      <c r="A480" s="267"/>
      <c r="B480" s="269" t="s">
        <v>613</v>
      </c>
      <c r="C480" s="266"/>
      <c r="D480" s="267"/>
      <c r="E480" s="268"/>
      <c r="F480" s="266"/>
    </row>
    <row r="481" spans="1:6" customFormat="1" ht="19.5" customHeight="1" x14ac:dyDescent="0.25">
      <c r="A481" s="270" t="s">
        <v>662</v>
      </c>
      <c r="B481" s="274" t="s">
        <v>627</v>
      </c>
      <c r="C481" s="275"/>
      <c r="D481" s="272" t="s">
        <v>79</v>
      </c>
      <c r="E481" s="268">
        <v>5630</v>
      </c>
      <c r="F481" s="268">
        <f>E481*C481</f>
        <v>0</v>
      </c>
    </row>
    <row r="482" spans="1:6" customFormat="1" ht="18.75" customHeight="1" x14ac:dyDescent="0.25">
      <c r="A482" s="270" t="s">
        <v>663</v>
      </c>
      <c r="B482" s="269" t="s">
        <v>628</v>
      </c>
      <c r="C482" s="275"/>
      <c r="D482" s="272" t="s">
        <v>79</v>
      </c>
      <c r="E482" s="268">
        <v>5200</v>
      </c>
      <c r="F482" s="268">
        <f t="shared" ref="F482:F489" si="53">E482*C482</f>
        <v>0</v>
      </c>
    </row>
    <row r="483" spans="1:6" customFormat="1" ht="18.75" customHeight="1" x14ac:dyDescent="0.25">
      <c r="A483" s="270" t="s">
        <v>664</v>
      </c>
      <c r="B483" s="269" t="s">
        <v>619</v>
      </c>
      <c r="C483" s="275"/>
      <c r="D483" s="272" t="s">
        <v>79</v>
      </c>
      <c r="E483" s="268">
        <v>4235</v>
      </c>
      <c r="F483" s="268">
        <f t="shared" si="53"/>
        <v>0</v>
      </c>
    </row>
    <row r="484" spans="1:6" customFormat="1" ht="22.5" customHeight="1" x14ac:dyDescent="0.25">
      <c r="A484" s="270" t="s">
        <v>665</v>
      </c>
      <c r="B484" s="269" t="s">
        <v>629</v>
      </c>
      <c r="C484" s="275"/>
      <c r="D484" s="272" t="s">
        <v>79</v>
      </c>
      <c r="E484" s="268">
        <v>687</v>
      </c>
      <c r="F484" s="268">
        <f t="shared" si="53"/>
        <v>0</v>
      </c>
    </row>
    <row r="485" spans="1:6" customFormat="1" ht="23.25" customHeight="1" x14ac:dyDescent="0.25">
      <c r="A485" s="270" t="s">
        <v>666</v>
      </c>
      <c r="B485" s="269" t="s">
        <v>630</v>
      </c>
      <c r="C485" s="275"/>
      <c r="D485" s="272" t="s">
        <v>79</v>
      </c>
      <c r="E485" s="268">
        <v>687</v>
      </c>
      <c r="F485" s="268">
        <f t="shared" si="53"/>
        <v>0</v>
      </c>
    </row>
    <row r="486" spans="1:6" customFormat="1" ht="21" customHeight="1" x14ac:dyDescent="0.25">
      <c r="A486" s="270" t="s">
        <v>667</v>
      </c>
      <c r="B486" s="269" t="s">
        <v>71</v>
      </c>
      <c r="C486" s="275"/>
      <c r="D486" s="272" t="s">
        <v>79</v>
      </c>
      <c r="E486" s="268">
        <v>1650</v>
      </c>
      <c r="F486" s="268">
        <f t="shared" si="53"/>
        <v>0</v>
      </c>
    </row>
    <row r="487" spans="1:6" customFormat="1" ht="21" customHeight="1" x14ac:dyDescent="0.25">
      <c r="A487" s="270" t="s">
        <v>668</v>
      </c>
      <c r="B487" s="269" t="s">
        <v>631</v>
      </c>
      <c r="C487" s="275"/>
      <c r="D487" s="272" t="s">
        <v>79</v>
      </c>
      <c r="E487" s="268">
        <v>3500</v>
      </c>
      <c r="F487" s="268">
        <f t="shared" si="53"/>
        <v>0</v>
      </c>
    </row>
    <row r="488" spans="1:6" customFormat="1" ht="21" customHeight="1" x14ac:dyDescent="0.25">
      <c r="A488" s="270" t="s">
        <v>669</v>
      </c>
      <c r="B488" s="269" t="s">
        <v>632</v>
      </c>
      <c r="C488" s="275"/>
      <c r="D488" s="272" t="s">
        <v>79</v>
      </c>
      <c r="E488" s="268">
        <v>15000</v>
      </c>
      <c r="F488" s="268">
        <v>15000</v>
      </c>
    </row>
    <row r="489" spans="1:6" customFormat="1" ht="35.25" customHeight="1" x14ac:dyDescent="0.25">
      <c r="A489" s="270" t="s">
        <v>670</v>
      </c>
      <c r="B489" s="269" t="s">
        <v>633</v>
      </c>
      <c r="C489" s="275"/>
      <c r="D489" s="272" t="s">
        <v>79</v>
      </c>
      <c r="E489" s="268">
        <v>9500</v>
      </c>
      <c r="F489" s="268">
        <f t="shared" si="53"/>
        <v>0</v>
      </c>
    </row>
    <row r="490" spans="1:6" customFormat="1" ht="13.2" x14ac:dyDescent="0.25">
      <c r="A490" s="267"/>
      <c r="B490" s="266"/>
      <c r="C490" s="266"/>
      <c r="D490" s="267"/>
      <c r="E490" s="268"/>
      <c r="F490" s="266"/>
    </row>
    <row r="491" spans="1:6" customFormat="1" thickBot="1" x14ac:dyDescent="0.3">
      <c r="A491" s="267"/>
      <c r="B491" s="266"/>
      <c r="C491" s="266"/>
      <c r="D491" s="267"/>
      <c r="E491" s="268"/>
      <c r="F491" s="279">
        <f>SUM(F481:F490)</f>
        <v>15000</v>
      </c>
    </row>
    <row r="492" spans="1:6" customFormat="1" thickTop="1" x14ac:dyDescent="0.25">
      <c r="A492" s="267" t="s">
        <v>634</v>
      </c>
      <c r="B492" s="273" t="s">
        <v>635</v>
      </c>
      <c r="C492" s="266"/>
      <c r="D492" s="267"/>
      <c r="E492" s="268"/>
      <c r="F492" s="266"/>
    </row>
    <row r="493" spans="1:6" customFormat="1" ht="13.2" x14ac:dyDescent="0.25">
      <c r="A493" s="267"/>
      <c r="B493" s="269" t="s">
        <v>613</v>
      </c>
      <c r="C493" s="266"/>
      <c r="D493" s="267"/>
      <c r="E493" s="268"/>
      <c r="F493" s="266"/>
    </row>
    <row r="494" spans="1:6" customFormat="1" ht="13.2" x14ac:dyDescent="0.25">
      <c r="A494" s="270" t="s">
        <v>671</v>
      </c>
      <c r="B494" s="274" t="s">
        <v>627</v>
      </c>
      <c r="C494" s="275"/>
      <c r="D494" s="272" t="s">
        <v>79</v>
      </c>
      <c r="E494" s="268">
        <v>5630</v>
      </c>
      <c r="F494" s="268">
        <f>E494*C494</f>
        <v>0</v>
      </c>
    </row>
    <row r="495" spans="1:6" customFormat="1" ht="13.2" x14ac:dyDescent="0.25">
      <c r="A495" s="270" t="s">
        <v>672</v>
      </c>
      <c r="B495" s="269" t="s">
        <v>628</v>
      </c>
      <c r="C495" s="275"/>
      <c r="D495" s="272" t="s">
        <v>79</v>
      </c>
      <c r="E495" s="268">
        <v>5200</v>
      </c>
      <c r="F495" s="268">
        <f t="shared" ref="F495:F502" si="54">E495*C495</f>
        <v>0</v>
      </c>
    </row>
    <row r="496" spans="1:6" customFormat="1" ht="13.2" x14ac:dyDescent="0.25">
      <c r="A496" s="270" t="s">
        <v>673</v>
      </c>
      <c r="B496" s="269" t="s">
        <v>619</v>
      </c>
      <c r="C496" s="275"/>
      <c r="D496" s="272" t="s">
        <v>79</v>
      </c>
      <c r="E496" s="268">
        <v>4235</v>
      </c>
      <c r="F496" s="268">
        <f t="shared" si="54"/>
        <v>0</v>
      </c>
    </row>
    <row r="497" spans="1:6" customFormat="1" ht="13.2" x14ac:dyDescent="0.25">
      <c r="A497" s="270" t="s">
        <v>674</v>
      </c>
      <c r="B497" s="269" t="s">
        <v>629</v>
      </c>
      <c r="C497" s="275"/>
      <c r="D497" s="272" t="s">
        <v>79</v>
      </c>
      <c r="E497" s="268">
        <v>687</v>
      </c>
      <c r="F497" s="268">
        <f t="shared" si="54"/>
        <v>0</v>
      </c>
    </row>
    <row r="498" spans="1:6" customFormat="1" ht="13.2" x14ac:dyDescent="0.25">
      <c r="A498" s="270" t="s">
        <v>675</v>
      </c>
      <c r="B498" s="269" t="s">
        <v>630</v>
      </c>
      <c r="C498" s="275"/>
      <c r="D498" s="272" t="s">
        <v>79</v>
      </c>
      <c r="E498" s="268">
        <v>687</v>
      </c>
      <c r="F498" s="268">
        <f t="shared" si="54"/>
        <v>0</v>
      </c>
    </row>
    <row r="499" spans="1:6" customFormat="1" ht="13.2" x14ac:dyDescent="0.25">
      <c r="A499" s="270" t="s">
        <v>676</v>
      </c>
      <c r="B499" s="269" t="s">
        <v>631</v>
      </c>
      <c r="C499" s="275"/>
      <c r="D499" s="272" t="s">
        <v>79</v>
      </c>
      <c r="E499" s="268">
        <v>3500</v>
      </c>
      <c r="F499" s="268">
        <f t="shared" si="54"/>
        <v>0</v>
      </c>
    </row>
    <row r="500" spans="1:6" customFormat="1" ht="13.2" x14ac:dyDescent="0.25">
      <c r="A500" s="270" t="s">
        <v>677</v>
      </c>
      <c r="B500" s="269" t="s">
        <v>632</v>
      </c>
      <c r="C500" s="275"/>
      <c r="D500" s="272" t="s">
        <v>79</v>
      </c>
      <c r="E500" s="268">
        <v>15000</v>
      </c>
      <c r="F500" s="268">
        <f t="shared" si="54"/>
        <v>0</v>
      </c>
    </row>
    <row r="501" spans="1:6" customFormat="1" ht="13.2" x14ac:dyDescent="0.25">
      <c r="A501" s="270" t="s">
        <v>678</v>
      </c>
      <c r="B501" s="269" t="s">
        <v>71</v>
      </c>
      <c r="C501" s="275"/>
      <c r="D501" s="272" t="s">
        <v>79</v>
      </c>
      <c r="E501" s="276">
        <v>1650</v>
      </c>
      <c r="F501" s="268">
        <f t="shared" si="54"/>
        <v>0</v>
      </c>
    </row>
    <row r="502" spans="1:6" customFormat="1" ht="26.4" x14ac:dyDescent="0.25">
      <c r="A502" s="270" t="s">
        <v>679</v>
      </c>
      <c r="B502" s="269" t="s">
        <v>680</v>
      </c>
      <c r="C502" s="275"/>
      <c r="D502" s="272" t="s">
        <v>79</v>
      </c>
      <c r="E502" s="276">
        <v>9500</v>
      </c>
      <c r="F502" s="268">
        <f t="shared" si="54"/>
        <v>0</v>
      </c>
    </row>
    <row r="503" spans="1:6" customFormat="1" ht="13.2" x14ac:dyDescent="0.25">
      <c r="A503" s="277"/>
      <c r="B503" s="266"/>
      <c r="C503" s="266"/>
      <c r="D503" s="267"/>
      <c r="E503" s="268"/>
      <c r="F503" s="266"/>
    </row>
    <row r="504" spans="1:6" customFormat="1" thickBot="1" x14ac:dyDescent="0.3">
      <c r="A504" s="267"/>
      <c r="B504" s="266"/>
      <c r="C504" s="266"/>
      <c r="D504" s="267"/>
      <c r="E504" s="268"/>
      <c r="F504" s="279">
        <f>SUM(F494:F503)</f>
        <v>0</v>
      </c>
    </row>
    <row r="505" spans="1:6" customFormat="1" thickTop="1" x14ac:dyDescent="0.25">
      <c r="A505" s="267" t="s">
        <v>636</v>
      </c>
      <c r="B505" s="273" t="s">
        <v>637</v>
      </c>
      <c r="C505" s="266"/>
      <c r="D505" s="267"/>
      <c r="E505" s="268"/>
      <c r="F505" s="266"/>
    </row>
    <row r="506" spans="1:6" customFormat="1" ht="13.2" x14ac:dyDescent="0.25">
      <c r="A506" s="267"/>
      <c r="B506" s="269" t="s">
        <v>613</v>
      </c>
      <c r="C506" s="266"/>
      <c r="D506" s="267"/>
      <c r="E506" s="268"/>
      <c r="F506" s="266"/>
    </row>
    <row r="507" spans="1:6" customFormat="1" ht="13.2" x14ac:dyDescent="0.25">
      <c r="A507" s="270" t="s">
        <v>653</v>
      </c>
      <c r="B507" s="274" t="s">
        <v>627</v>
      </c>
      <c r="C507" s="275"/>
      <c r="D507" s="272" t="s">
        <v>0</v>
      </c>
      <c r="E507" s="268">
        <v>5630</v>
      </c>
      <c r="F507" s="268">
        <f>E507*C507</f>
        <v>0</v>
      </c>
    </row>
    <row r="508" spans="1:6" customFormat="1" ht="13.2" x14ac:dyDescent="0.25">
      <c r="A508" s="270" t="s">
        <v>654</v>
      </c>
      <c r="B508" s="269" t="s">
        <v>628</v>
      </c>
      <c r="C508" s="275"/>
      <c r="D508" s="272" t="s">
        <v>0</v>
      </c>
      <c r="E508" s="268">
        <v>5200</v>
      </c>
      <c r="F508" s="268">
        <f t="shared" ref="F508:F515" si="55">E508*C508</f>
        <v>0</v>
      </c>
    </row>
    <row r="509" spans="1:6" customFormat="1" ht="13.2" x14ac:dyDescent="0.25">
      <c r="A509" s="270" t="s">
        <v>655</v>
      </c>
      <c r="B509" s="269" t="s">
        <v>619</v>
      </c>
      <c r="C509" s="275"/>
      <c r="D509" s="272" t="s">
        <v>0</v>
      </c>
      <c r="E509" s="268">
        <v>4235</v>
      </c>
      <c r="F509" s="268">
        <f t="shared" si="55"/>
        <v>0</v>
      </c>
    </row>
    <row r="510" spans="1:6" customFormat="1" ht="13.2" x14ac:dyDescent="0.25">
      <c r="A510" s="270" t="s">
        <v>656</v>
      </c>
      <c r="B510" s="269" t="s">
        <v>629</v>
      </c>
      <c r="C510" s="275"/>
      <c r="D510" s="272" t="s">
        <v>0</v>
      </c>
      <c r="E510" s="268">
        <v>687</v>
      </c>
      <c r="F510" s="268">
        <f t="shared" si="55"/>
        <v>0</v>
      </c>
    </row>
    <row r="511" spans="1:6" customFormat="1" ht="13.2" x14ac:dyDescent="0.25">
      <c r="A511" s="270" t="s">
        <v>657</v>
      </c>
      <c r="B511" s="269" t="s">
        <v>630</v>
      </c>
      <c r="C511" s="275"/>
      <c r="D511" s="272" t="s">
        <v>0</v>
      </c>
      <c r="E511" s="268">
        <v>687</v>
      </c>
      <c r="F511" s="268">
        <f t="shared" si="55"/>
        <v>0</v>
      </c>
    </row>
    <row r="512" spans="1:6" customFormat="1" ht="13.2" x14ac:dyDescent="0.25">
      <c r="A512" s="270" t="s">
        <v>658</v>
      </c>
      <c r="B512" s="269" t="s">
        <v>631</v>
      </c>
      <c r="C512" s="275"/>
      <c r="D512" s="272" t="s">
        <v>0</v>
      </c>
      <c r="E512" s="268">
        <v>3500</v>
      </c>
      <c r="F512" s="268">
        <f t="shared" si="55"/>
        <v>0</v>
      </c>
    </row>
    <row r="513" spans="1:6" customFormat="1" ht="13.2" x14ac:dyDescent="0.25">
      <c r="A513" s="270" t="s">
        <v>659</v>
      </c>
      <c r="B513" s="269" t="s">
        <v>632</v>
      </c>
      <c r="C513" s="275"/>
      <c r="D513" s="272" t="s">
        <v>0</v>
      </c>
      <c r="E513" s="268">
        <v>15000</v>
      </c>
      <c r="F513" s="268">
        <f t="shared" si="55"/>
        <v>0</v>
      </c>
    </row>
    <row r="514" spans="1:6" customFormat="1" ht="13.2" x14ac:dyDescent="0.25">
      <c r="A514" s="270" t="s">
        <v>660</v>
      </c>
      <c r="B514" s="269" t="s">
        <v>71</v>
      </c>
      <c r="C514" s="275"/>
      <c r="D514" s="272" t="s">
        <v>0</v>
      </c>
      <c r="E514" s="268">
        <v>1650</v>
      </c>
      <c r="F514" s="268">
        <f t="shared" si="55"/>
        <v>0</v>
      </c>
    </row>
    <row r="515" spans="1:6" customFormat="1" ht="26.4" x14ac:dyDescent="0.25">
      <c r="A515" s="270" t="s">
        <v>661</v>
      </c>
      <c r="B515" s="269" t="s">
        <v>633</v>
      </c>
      <c r="C515" s="275"/>
      <c r="D515" s="272" t="s">
        <v>0</v>
      </c>
      <c r="E515" s="268">
        <v>9500</v>
      </c>
      <c r="F515" s="268">
        <f t="shared" si="55"/>
        <v>0</v>
      </c>
    </row>
    <row r="516" spans="1:6" ht="14.4" thickBot="1" x14ac:dyDescent="0.3">
      <c r="A516" s="227"/>
      <c r="B516" s="236"/>
      <c r="C516" s="245"/>
      <c r="D516" s="252"/>
      <c r="E516" s="260"/>
      <c r="F516" s="280">
        <f>SUM(F507:F515)</f>
        <v>0</v>
      </c>
    </row>
    <row r="517" spans="1:6" ht="14.4" thickTop="1" x14ac:dyDescent="0.25">
      <c r="A517" s="228"/>
      <c r="B517" s="237"/>
      <c r="C517" s="246"/>
      <c r="D517" s="253"/>
      <c r="E517" s="261"/>
      <c r="F517" s="255"/>
    </row>
    <row r="518" spans="1:6" ht="46.5" customHeight="1" x14ac:dyDescent="0.25">
      <c r="A518" s="233" t="s">
        <v>315</v>
      </c>
      <c r="B518" s="238" t="s">
        <v>593</v>
      </c>
      <c r="C518" s="247"/>
      <c r="D518" s="254" t="s">
        <v>56</v>
      </c>
      <c r="E518" s="262">
        <f>760*3.28</f>
        <v>2492.7999999999997</v>
      </c>
      <c r="F518" s="257">
        <f>E518*C518</f>
        <v>0</v>
      </c>
    </row>
    <row r="519" spans="1:6" x14ac:dyDescent="0.25">
      <c r="A519" s="225"/>
      <c r="B519" s="239"/>
      <c r="C519" s="245"/>
      <c r="D519" s="252"/>
      <c r="E519" s="260"/>
      <c r="F519" s="255"/>
    </row>
    <row r="520" spans="1:6" x14ac:dyDescent="0.25">
      <c r="A520" s="21" t="s">
        <v>316</v>
      </c>
      <c r="B520" s="240" t="s">
        <v>72</v>
      </c>
      <c r="C520" s="246"/>
      <c r="D520" s="253" t="s">
        <v>0</v>
      </c>
      <c r="E520" s="261">
        <v>4380</v>
      </c>
      <c r="F520" s="256">
        <f>E520*C520</f>
        <v>0</v>
      </c>
    </row>
    <row r="521" spans="1:6" ht="55.2" x14ac:dyDescent="0.25">
      <c r="A521" s="21"/>
      <c r="B521" s="240" t="s">
        <v>73</v>
      </c>
      <c r="C521" s="246"/>
      <c r="D521" s="253"/>
      <c r="E521" s="261"/>
      <c r="F521" s="256"/>
    </row>
    <row r="522" spans="1:6" x14ac:dyDescent="0.25">
      <c r="A522" s="21"/>
      <c r="B522" s="240"/>
      <c r="C522" s="246"/>
      <c r="D522" s="253"/>
      <c r="E522" s="261"/>
      <c r="F522" s="256"/>
    </row>
    <row r="523" spans="1:6" x14ac:dyDescent="0.25">
      <c r="A523" s="21" t="s">
        <v>317</v>
      </c>
      <c r="B523" s="240" t="s">
        <v>74</v>
      </c>
      <c r="C523" s="246"/>
      <c r="D523" s="253" t="s">
        <v>0</v>
      </c>
      <c r="E523" s="261">
        <v>4150</v>
      </c>
      <c r="F523" s="256">
        <f>C523*E523</f>
        <v>0</v>
      </c>
    </row>
    <row r="524" spans="1:6" ht="55.2" x14ac:dyDescent="0.25">
      <c r="A524" s="21"/>
      <c r="B524" s="240" t="s">
        <v>75</v>
      </c>
      <c r="C524" s="246"/>
      <c r="D524" s="253"/>
      <c r="E524" s="261"/>
      <c r="F524" s="256"/>
    </row>
    <row r="525" spans="1:6" x14ac:dyDescent="0.25">
      <c r="A525" s="21"/>
      <c r="B525" s="240"/>
      <c r="C525" s="246"/>
      <c r="D525" s="241"/>
      <c r="E525" s="263"/>
      <c r="F525" s="256"/>
    </row>
    <row r="526" spans="1:6" x14ac:dyDescent="0.25">
      <c r="A526" s="21" t="s">
        <v>318</v>
      </c>
      <c r="B526" s="240" t="s">
        <v>125</v>
      </c>
      <c r="C526" s="246"/>
      <c r="D526" s="241"/>
      <c r="E526" s="263"/>
      <c r="F526" s="256"/>
    </row>
    <row r="527" spans="1:6" ht="55.2" x14ac:dyDescent="0.25">
      <c r="A527" s="21"/>
      <c r="B527" s="240" t="s">
        <v>594</v>
      </c>
      <c r="C527" s="246"/>
      <c r="D527" s="241" t="s">
        <v>0</v>
      </c>
      <c r="E527" s="263">
        <v>3395</v>
      </c>
      <c r="F527" s="256">
        <f>C527*E527</f>
        <v>0</v>
      </c>
    </row>
    <row r="528" spans="1:6" x14ac:dyDescent="0.25">
      <c r="A528" s="21"/>
      <c r="B528" s="240"/>
      <c r="C528" s="246"/>
      <c r="D528" s="241"/>
      <c r="E528" s="263"/>
      <c r="F528" s="256"/>
    </row>
    <row r="529" spans="1:6" x14ac:dyDescent="0.25">
      <c r="A529" s="21" t="s">
        <v>319</v>
      </c>
      <c r="B529" s="240" t="s">
        <v>103</v>
      </c>
      <c r="C529" s="246"/>
      <c r="D529" s="241" t="s">
        <v>0</v>
      </c>
      <c r="E529" s="263">
        <v>3250</v>
      </c>
      <c r="F529" s="256">
        <f>E529*C529</f>
        <v>0</v>
      </c>
    </row>
    <row r="530" spans="1:6" x14ac:dyDescent="0.25">
      <c r="A530" s="21"/>
      <c r="B530" s="240"/>
      <c r="C530" s="246"/>
      <c r="D530" s="241"/>
      <c r="E530" s="263"/>
      <c r="F530" s="256"/>
    </row>
    <row r="531" spans="1:6" x14ac:dyDescent="0.25">
      <c r="A531" s="21" t="s">
        <v>320</v>
      </c>
      <c r="B531" s="240" t="s">
        <v>104</v>
      </c>
      <c r="C531" s="246"/>
      <c r="D531" s="241" t="s">
        <v>0</v>
      </c>
      <c r="E531" s="263">
        <v>4200</v>
      </c>
      <c r="F531" s="256">
        <f>E531*C531</f>
        <v>0</v>
      </c>
    </row>
    <row r="532" spans="1:6" x14ac:dyDescent="0.25">
      <c r="A532" s="21"/>
      <c r="B532" s="240"/>
      <c r="C532" s="246"/>
      <c r="D532" s="241"/>
      <c r="E532" s="263"/>
      <c r="F532" s="256"/>
    </row>
    <row r="533" spans="1:6" x14ac:dyDescent="0.25">
      <c r="A533" s="21" t="s">
        <v>321</v>
      </c>
      <c r="B533" s="240" t="s">
        <v>76</v>
      </c>
      <c r="C533" s="246"/>
      <c r="D533" s="241" t="s">
        <v>0</v>
      </c>
      <c r="E533" s="263">
        <v>2840</v>
      </c>
      <c r="F533" s="256">
        <f>C533*E533</f>
        <v>0</v>
      </c>
    </row>
    <row r="534" spans="1:6" ht="27.6" x14ac:dyDescent="0.25">
      <c r="A534" s="21"/>
      <c r="B534" s="240" t="s">
        <v>595</v>
      </c>
      <c r="C534" s="246"/>
      <c r="D534" s="241"/>
      <c r="E534" s="263"/>
      <c r="F534" s="256"/>
    </row>
    <row r="535" spans="1:6" ht="27.6" x14ac:dyDescent="0.25">
      <c r="A535" s="21"/>
      <c r="B535" s="240" t="s">
        <v>77</v>
      </c>
      <c r="C535" s="246"/>
      <c r="D535" s="241"/>
      <c r="E535" s="197"/>
      <c r="F535" s="232"/>
    </row>
    <row r="536" spans="1:6" x14ac:dyDescent="0.25">
      <c r="A536" s="21"/>
      <c r="B536" s="240"/>
      <c r="C536" s="246"/>
      <c r="D536" s="241"/>
      <c r="E536" s="197"/>
      <c r="F536" s="232"/>
    </row>
    <row r="537" spans="1:6" ht="69" x14ac:dyDescent="0.25">
      <c r="A537" s="21" t="s">
        <v>322</v>
      </c>
      <c r="B537" s="240" t="s">
        <v>596</v>
      </c>
      <c r="C537" s="246"/>
      <c r="D537" s="241" t="s">
        <v>0</v>
      </c>
      <c r="E537" s="197">
        <v>6215</v>
      </c>
      <c r="F537" s="232">
        <f>C537*E537</f>
        <v>0</v>
      </c>
    </row>
    <row r="538" spans="1:6" x14ac:dyDescent="0.25">
      <c r="A538" s="21"/>
      <c r="B538" s="240"/>
      <c r="C538" s="246"/>
      <c r="D538" s="241"/>
      <c r="E538" s="197"/>
      <c r="F538" s="232"/>
    </row>
    <row r="539" spans="1:6" ht="73.95" customHeight="1" x14ac:dyDescent="0.25">
      <c r="A539" s="21" t="s">
        <v>323</v>
      </c>
      <c r="B539" s="240" t="s">
        <v>597</v>
      </c>
      <c r="C539" s="246"/>
      <c r="D539" s="241" t="s">
        <v>0</v>
      </c>
      <c r="E539" s="197">
        <v>6580</v>
      </c>
      <c r="F539" s="232">
        <f>C539*E539</f>
        <v>0</v>
      </c>
    </row>
    <row r="540" spans="1:6" x14ac:dyDescent="0.25">
      <c r="A540" s="21"/>
      <c r="B540" s="22"/>
      <c r="C540" s="248"/>
      <c r="D540" s="241"/>
      <c r="E540" s="197"/>
      <c r="F540" s="232"/>
    </row>
    <row r="541" spans="1:6" x14ac:dyDescent="0.25">
      <c r="A541" s="21" t="s">
        <v>324</v>
      </c>
      <c r="B541" s="186" t="s">
        <v>598</v>
      </c>
      <c r="C541" s="248"/>
      <c r="D541" s="241" t="s">
        <v>0</v>
      </c>
      <c r="E541" s="197">
        <v>2300</v>
      </c>
      <c r="F541" s="232">
        <f>C541*E541</f>
        <v>0</v>
      </c>
    </row>
    <row r="542" spans="1:6" x14ac:dyDescent="0.25">
      <c r="A542" s="21"/>
      <c r="B542" s="186" t="s">
        <v>599</v>
      </c>
      <c r="C542" s="248"/>
      <c r="D542" s="241"/>
      <c r="E542" s="197"/>
      <c r="F542" s="232"/>
    </row>
    <row r="543" spans="1:6" x14ac:dyDescent="0.25">
      <c r="A543" s="21" t="s">
        <v>325</v>
      </c>
      <c r="B543" s="22" t="s">
        <v>600</v>
      </c>
      <c r="C543" s="248"/>
      <c r="D543" s="241" t="s">
        <v>0</v>
      </c>
      <c r="E543" s="197">
        <v>5600</v>
      </c>
      <c r="F543" s="232">
        <f>C543*E543</f>
        <v>0</v>
      </c>
    </row>
    <row r="544" spans="1:6" x14ac:dyDescent="0.25">
      <c r="A544" s="21"/>
      <c r="B544" s="22" t="s">
        <v>601</v>
      </c>
      <c r="C544" s="248"/>
      <c r="D544" s="241"/>
      <c r="E544" s="197"/>
      <c r="F544" s="232"/>
    </row>
    <row r="545" spans="1:6" ht="41.4" x14ac:dyDescent="0.25">
      <c r="A545" s="21" t="s">
        <v>326</v>
      </c>
      <c r="B545" s="22" t="s">
        <v>602</v>
      </c>
      <c r="C545" s="248"/>
      <c r="D545" s="241" t="s">
        <v>0</v>
      </c>
      <c r="E545" s="197">
        <v>3625</v>
      </c>
      <c r="F545" s="232">
        <f>C545*E545</f>
        <v>0</v>
      </c>
    </row>
    <row r="546" spans="1:6" x14ac:dyDescent="0.25">
      <c r="A546" s="21"/>
      <c r="B546" s="22"/>
      <c r="C546" s="248"/>
      <c r="D546" s="241"/>
      <c r="E546" s="197"/>
      <c r="F546" s="41"/>
    </row>
    <row r="547" spans="1:6" x14ac:dyDescent="0.25">
      <c r="A547" s="21" t="s">
        <v>327</v>
      </c>
      <c r="B547" s="187" t="s">
        <v>603</v>
      </c>
      <c r="C547" s="248"/>
      <c r="D547" s="241" t="s">
        <v>0</v>
      </c>
      <c r="E547" s="197">
        <v>6380</v>
      </c>
      <c r="F547" s="41">
        <f>C547*E547</f>
        <v>0</v>
      </c>
    </row>
    <row r="548" spans="1:6" x14ac:dyDescent="0.25">
      <c r="A548" s="21"/>
      <c r="B548" s="22"/>
      <c r="C548" s="248"/>
      <c r="D548" s="241"/>
      <c r="E548" s="197"/>
      <c r="F548" s="41"/>
    </row>
    <row r="549" spans="1:6" x14ac:dyDescent="0.25">
      <c r="A549" s="21"/>
      <c r="B549" s="22" t="s">
        <v>106</v>
      </c>
      <c r="C549" s="248"/>
      <c r="D549" s="241"/>
      <c r="E549" s="197"/>
      <c r="F549" s="41"/>
    </row>
    <row r="550" spans="1:6" ht="82.8" x14ac:dyDescent="0.25">
      <c r="A550" s="21" t="s">
        <v>328</v>
      </c>
      <c r="B550" s="22" t="s">
        <v>604</v>
      </c>
      <c r="C550" s="248"/>
      <c r="D550" s="241" t="s">
        <v>13</v>
      </c>
      <c r="E550" s="197">
        <v>4730</v>
      </c>
      <c r="F550" s="41">
        <f>C550*E550</f>
        <v>0</v>
      </c>
    </row>
    <row r="551" spans="1:6" ht="41.4" x14ac:dyDescent="0.25">
      <c r="A551" s="21" t="s">
        <v>681</v>
      </c>
      <c r="B551" s="281" t="s">
        <v>682</v>
      </c>
      <c r="C551" s="248"/>
      <c r="D551" s="241" t="s">
        <v>13</v>
      </c>
      <c r="E551" s="197"/>
      <c r="F551" s="41"/>
    </row>
    <row r="552" spans="1:6" x14ac:dyDescent="0.25">
      <c r="A552" s="21"/>
      <c r="B552" s="22"/>
      <c r="C552" s="248"/>
      <c r="D552" s="241"/>
      <c r="E552" s="197"/>
      <c r="F552" s="41"/>
    </row>
    <row r="553" spans="1:6" x14ac:dyDescent="0.25">
      <c r="A553" s="21"/>
      <c r="B553" s="22"/>
      <c r="C553" s="248"/>
      <c r="D553" s="241"/>
      <c r="E553" s="197"/>
      <c r="F553" s="41"/>
    </row>
    <row r="554" spans="1:6" s="12" customFormat="1" x14ac:dyDescent="0.25">
      <c r="A554" s="102"/>
      <c r="B554" s="103" t="s">
        <v>46</v>
      </c>
      <c r="C554" s="249"/>
      <c r="D554" s="242"/>
      <c r="E554" s="199"/>
      <c r="F554" s="106">
        <f>SUM(F516:F550)</f>
        <v>0</v>
      </c>
    </row>
    <row r="555" spans="1:6" x14ac:dyDescent="0.25">
      <c r="A555" s="21"/>
      <c r="B555" s="37" t="s">
        <v>330</v>
      </c>
      <c r="C555" s="248"/>
      <c r="D555" s="241"/>
      <c r="E555" s="197"/>
      <c r="F555" s="41"/>
    </row>
    <row r="556" spans="1:6" x14ac:dyDescent="0.25">
      <c r="A556" s="21"/>
      <c r="B556" s="22"/>
      <c r="C556" s="248"/>
      <c r="D556" s="241"/>
      <c r="E556" s="197"/>
      <c r="F556" s="41"/>
    </row>
    <row r="557" spans="1:6" ht="41.4" x14ac:dyDescent="0.25">
      <c r="A557" s="21" t="s">
        <v>331</v>
      </c>
      <c r="B557" s="22" t="s">
        <v>119</v>
      </c>
      <c r="C557" s="248"/>
      <c r="D557" s="241" t="s">
        <v>101</v>
      </c>
      <c r="E557" s="197">
        <v>5904</v>
      </c>
      <c r="F557" s="41">
        <f>C557*E557</f>
        <v>0</v>
      </c>
    </row>
    <row r="558" spans="1:6" ht="41.4" x14ac:dyDescent="0.25">
      <c r="A558" s="21" t="s">
        <v>332</v>
      </c>
      <c r="B558" s="22" t="s">
        <v>121</v>
      </c>
      <c r="C558" s="248"/>
      <c r="D558" s="241" t="s">
        <v>101</v>
      </c>
      <c r="E558" s="197">
        <v>8528</v>
      </c>
      <c r="F558" s="41">
        <f>C558*E558</f>
        <v>0</v>
      </c>
    </row>
    <row r="559" spans="1:6" ht="41.4" x14ac:dyDescent="0.25">
      <c r="A559" s="21" t="s">
        <v>333</v>
      </c>
      <c r="B559" s="22" t="s">
        <v>120</v>
      </c>
      <c r="C559" s="248"/>
      <c r="D559" s="241" t="s">
        <v>101</v>
      </c>
      <c r="E559" s="197">
        <v>7134</v>
      </c>
      <c r="F559" s="41">
        <f>C559*E559</f>
        <v>0</v>
      </c>
    </row>
    <row r="560" spans="1:6" x14ac:dyDescent="0.25">
      <c r="A560" s="21"/>
      <c r="B560" s="22"/>
      <c r="C560" s="248"/>
      <c r="D560" s="241"/>
      <c r="E560" s="197"/>
      <c r="F560" s="41"/>
    </row>
    <row r="561" spans="1:6" x14ac:dyDescent="0.25">
      <c r="A561" s="21"/>
      <c r="B561" s="22"/>
      <c r="C561" s="248"/>
      <c r="D561" s="241"/>
      <c r="E561" s="197"/>
      <c r="F561" s="41"/>
    </row>
    <row r="562" spans="1:6" x14ac:dyDescent="0.25">
      <c r="A562" s="21"/>
      <c r="B562" s="22"/>
      <c r="C562" s="248"/>
      <c r="D562" s="241"/>
      <c r="E562" s="197"/>
      <c r="F562" s="41"/>
    </row>
    <row r="563" spans="1:6" x14ac:dyDescent="0.25">
      <c r="A563" s="21"/>
      <c r="B563" s="22"/>
      <c r="C563" s="248"/>
      <c r="D563" s="241"/>
      <c r="E563" s="197"/>
      <c r="F563" s="41"/>
    </row>
    <row r="564" spans="1:6" s="12" customFormat="1" x14ac:dyDescent="0.25">
      <c r="A564" s="102"/>
      <c r="B564" s="103" t="s">
        <v>46</v>
      </c>
      <c r="C564" s="249"/>
      <c r="D564" s="242"/>
      <c r="E564" s="199"/>
      <c r="F564" s="106">
        <f>SUM(F557:F561)</f>
        <v>0</v>
      </c>
    </row>
    <row r="566" spans="1:6" ht="14.4" thickBot="1" x14ac:dyDescent="0.3"/>
    <row r="567" spans="1:6" s="182" customFormat="1" thickBot="1" x14ac:dyDescent="0.3">
      <c r="A567" s="2779" t="s">
        <v>80</v>
      </c>
      <c r="B567" s="2780"/>
      <c r="C567" s="2780"/>
      <c r="D567" s="2780"/>
      <c r="E567" s="2780"/>
      <c r="F567" s="2781"/>
    </row>
    <row r="568" spans="1:6" s="182" customFormat="1" thickBot="1" x14ac:dyDescent="0.3">
      <c r="A568" s="107"/>
      <c r="B568" s="108"/>
      <c r="C568" s="108"/>
      <c r="D568" s="108"/>
      <c r="E568" s="203"/>
      <c r="F568" s="109"/>
    </row>
    <row r="569" spans="1:6" s="182" customFormat="1" thickBot="1" x14ac:dyDescent="0.3">
      <c r="A569" s="110" t="s">
        <v>0</v>
      </c>
      <c r="B569" s="111" t="s">
        <v>1</v>
      </c>
      <c r="C569" s="112" t="s">
        <v>2</v>
      </c>
      <c r="D569" s="113" t="s">
        <v>3</v>
      </c>
      <c r="E569" s="204" t="s">
        <v>4</v>
      </c>
      <c r="F569" s="114" t="s">
        <v>5</v>
      </c>
    </row>
    <row r="570" spans="1:6" s="182" customFormat="1" ht="13.2" x14ac:dyDescent="0.25">
      <c r="A570" s="115"/>
      <c r="B570" s="116"/>
      <c r="C570" s="117"/>
      <c r="D570" s="118"/>
      <c r="E570" s="205"/>
      <c r="F570" s="119"/>
    </row>
    <row r="571" spans="1:6" s="182" customFormat="1" x14ac:dyDescent="0.25">
      <c r="A571" s="9" t="s">
        <v>127</v>
      </c>
      <c r="B571" s="6" t="s">
        <v>81</v>
      </c>
      <c r="C571" s="120"/>
      <c r="D571" s="7"/>
      <c r="E571" s="206"/>
      <c r="F571" s="159">
        <f>+F82</f>
        <v>0</v>
      </c>
    </row>
    <row r="572" spans="1:6" s="182" customFormat="1" x14ac:dyDescent="0.25">
      <c r="A572" s="9" t="s">
        <v>555</v>
      </c>
      <c r="B572" s="6" t="s">
        <v>571</v>
      </c>
      <c r="C572" s="120"/>
      <c r="D572" s="7"/>
      <c r="E572" s="206"/>
      <c r="F572" s="159">
        <f>+F136</f>
        <v>0</v>
      </c>
    </row>
    <row r="573" spans="1:6" s="182" customFormat="1" x14ac:dyDescent="0.25">
      <c r="A573" s="122" t="s">
        <v>556</v>
      </c>
      <c r="B573" s="123" t="s">
        <v>572</v>
      </c>
      <c r="C573" s="124"/>
      <c r="D573" s="125"/>
      <c r="E573" s="207"/>
      <c r="F573" s="160">
        <f>+F179</f>
        <v>0</v>
      </c>
    </row>
    <row r="574" spans="1:6" s="182" customFormat="1" x14ac:dyDescent="0.25">
      <c r="A574" s="122" t="s">
        <v>557</v>
      </c>
      <c r="B574" s="123" t="s">
        <v>573</v>
      </c>
      <c r="C574" s="124"/>
      <c r="D574" s="125"/>
      <c r="E574" s="207"/>
      <c r="F574" s="160">
        <f>+F231</f>
        <v>0</v>
      </c>
    </row>
    <row r="575" spans="1:6" s="182" customFormat="1" x14ac:dyDescent="0.25">
      <c r="A575" s="122" t="s">
        <v>558</v>
      </c>
      <c r="B575" s="123" t="s">
        <v>574</v>
      </c>
      <c r="C575" s="124"/>
      <c r="D575" s="125"/>
      <c r="E575" s="207"/>
      <c r="F575" s="160">
        <f>+F238</f>
        <v>0</v>
      </c>
    </row>
    <row r="576" spans="1:6" s="182" customFormat="1" x14ac:dyDescent="0.25">
      <c r="A576" s="122" t="s">
        <v>559</v>
      </c>
      <c r="B576" s="123" t="s">
        <v>575</v>
      </c>
      <c r="C576" s="124"/>
      <c r="D576" s="125"/>
      <c r="E576" s="207"/>
      <c r="F576" s="160">
        <f>+F255</f>
        <v>0</v>
      </c>
    </row>
    <row r="577" spans="1:6" s="182" customFormat="1" x14ac:dyDescent="0.25">
      <c r="A577" s="122" t="s">
        <v>560</v>
      </c>
      <c r="B577" s="123" t="s">
        <v>576</v>
      </c>
      <c r="C577" s="124"/>
      <c r="D577" s="125"/>
      <c r="E577" s="207"/>
      <c r="F577" s="160">
        <f>+F260</f>
        <v>0</v>
      </c>
    </row>
    <row r="578" spans="1:6" s="182" customFormat="1" x14ac:dyDescent="0.25">
      <c r="A578" s="122" t="s">
        <v>561</v>
      </c>
      <c r="B578" s="123" t="s">
        <v>577</v>
      </c>
      <c r="C578" s="124"/>
      <c r="D578" s="125"/>
      <c r="E578" s="207"/>
      <c r="F578" s="160">
        <f>+F275</f>
        <v>0</v>
      </c>
    </row>
    <row r="579" spans="1:6" s="182" customFormat="1" x14ac:dyDescent="0.25">
      <c r="A579" s="122" t="s">
        <v>562</v>
      </c>
      <c r="B579" s="123" t="s">
        <v>578</v>
      </c>
      <c r="C579" s="124"/>
      <c r="D579" s="125"/>
      <c r="E579" s="207"/>
      <c r="F579" s="160">
        <f>+F304</f>
        <v>0</v>
      </c>
    </row>
    <row r="580" spans="1:6" s="182" customFormat="1" x14ac:dyDescent="0.25">
      <c r="A580" s="122" t="s">
        <v>563</v>
      </c>
      <c r="B580" s="123" t="s">
        <v>579</v>
      </c>
      <c r="C580" s="124"/>
      <c r="D580" s="125"/>
      <c r="E580" s="207"/>
      <c r="F580" s="160">
        <f>+F329</f>
        <v>0</v>
      </c>
    </row>
    <row r="581" spans="1:6" s="182" customFormat="1" x14ac:dyDescent="0.25">
      <c r="A581" s="122" t="s">
        <v>564</v>
      </c>
      <c r="B581" s="123" t="s">
        <v>580</v>
      </c>
      <c r="C581" s="124"/>
      <c r="D581" s="125"/>
      <c r="E581" s="207"/>
      <c r="F581" s="160">
        <f>+F360</f>
        <v>0</v>
      </c>
    </row>
    <row r="582" spans="1:6" s="182" customFormat="1" x14ac:dyDescent="0.25">
      <c r="A582" s="122" t="s">
        <v>329</v>
      </c>
      <c r="B582" s="123" t="s">
        <v>581</v>
      </c>
      <c r="C582" s="124"/>
      <c r="D582" s="125"/>
      <c r="E582" s="207"/>
      <c r="F582" s="160">
        <f>+F376</f>
        <v>0</v>
      </c>
    </row>
    <row r="583" spans="1:6" s="182" customFormat="1" x14ac:dyDescent="0.25">
      <c r="A583" s="122" t="s">
        <v>565</v>
      </c>
      <c r="B583" s="123" t="s">
        <v>582</v>
      </c>
      <c r="C583" s="124"/>
      <c r="D583" s="125"/>
      <c r="E583" s="207"/>
      <c r="F583" s="160">
        <f>+F387</f>
        <v>0</v>
      </c>
    </row>
    <row r="584" spans="1:6" s="182" customFormat="1" x14ac:dyDescent="0.25">
      <c r="A584" s="122" t="s">
        <v>566</v>
      </c>
      <c r="B584" s="123" t="s">
        <v>583</v>
      </c>
      <c r="C584" s="124"/>
      <c r="D584" s="125"/>
      <c r="E584" s="207"/>
      <c r="F584" s="160">
        <f>+F406</f>
        <v>0</v>
      </c>
    </row>
    <row r="585" spans="1:6" s="182" customFormat="1" x14ac:dyDescent="0.25">
      <c r="A585" s="122" t="s">
        <v>567</v>
      </c>
      <c r="B585" s="123" t="s">
        <v>584</v>
      </c>
      <c r="C585" s="124"/>
      <c r="D585" s="125"/>
      <c r="E585" s="207"/>
      <c r="F585" s="160">
        <f>+F436</f>
        <v>0</v>
      </c>
    </row>
    <row r="586" spans="1:6" s="182" customFormat="1" x14ac:dyDescent="0.25">
      <c r="A586" s="122" t="s">
        <v>568</v>
      </c>
      <c r="B586" s="123" t="s">
        <v>585</v>
      </c>
      <c r="C586" s="124"/>
      <c r="D586" s="125"/>
      <c r="E586" s="207"/>
      <c r="F586" s="160">
        <f>+F453</f>
        <v>0</v>
      </c>
    </row>
    <row r="587" spans="1:6" s="182" customFormat="1" x14ac:dyDescent="0.25">
      <c r="A587" s="122" t="s">
        <v>569</v>
      </c>
      <c r="B587" s="123" t="s">
        <v>586</v>
      </c>
      <c r="C587" s="124"/>
      <c r="D587" s="125"/>
      <c r="E587" s="207"/>
      <c r="F587" s="160">
        <f>+F554</f>
        <v>0</v>
      </c>
    </row>
    <row r="588" spans="1:6" s="182" customFormat="1" x14ac:dyDescent="0.25">
      <c r="A588" s="122" t="s">
        <v>570</v>
      </c>
      <c r="B588" s="123" t="s">
        <v>60</v>
      </c>
      <c r="C588" s="124"/>
      <c r="D588" s="125"/>
      <c r="E588" s="207"/>
      <c r="F588" s="160">
        <f>+F564</f>
        <v>0</v>
      </c>
    </row>
    <row r="589" spans="1:6" s="182" customFormat="1" ht="14.4" thickBot="1" x14ac:dyDescent="0.3">
      <c r="A589" s="122"/>
      <c r="B589" s="123"/>
      <c r="C589" s="124"/>
      <c r="D589" s="125"/>
      <c r="E589" s="207"/>
      <c r="F589" s="160"/>
    </row>
    <row r="590" spans="1:6" s="182" customFormat="1" thickBot="1" x14ac:dyDescent="0.3">
      <c r="A590" s="126"/>
      <c r="B590" s="127" t="s">
        <v>45</v>
      </c>
      <c r="C590" s="128"/>
      <c r="D590" s="129"/>
      <c r="E590" s="208"/>
      <c r="F590" s="130">
        <f>SUM(F571:F589)</f>
        <v>0</v>
      </c>
    </row>
    <row r="591" spans="1:6" s="182" customFormat="1" thickBot="1" x14ac:dyDescent="0.3">
      <c r="A591" s="131"/>
      <c r="B591" s="132"/>
      <c r="C591" s="133"/>
      <c r="D591" s="134"/>
      <c r="E591" s="209"/>
      <c r="F591" s="134"/>
    </row>
    <row r="592" spans="1:6" x14ac:dyDescent="0.25">
      <c r="A592" s="165">
        <v>3</v>
      </c>
      <c r="B592" s="166" t="s">
        <v>105</v>
      </c>
      <c r="C592" s="167"/>
      <c r="D592" s="168"/>
      <c r="E592" s="210"/>
      <c r="F592" s="167"/>
    </row>
    <row r="593" spans="1:6" x14ac:dyDescent="0.25">
      <c r="A593" s="55"/>
      <c r="B593" s="169"/>
      <c r="C593" s="157"/>
      <c r="D593" s="158"/>
      <c r="E593" s="211"/>
      <c r="F593" s="157"/>
    </row>
    <row r="594" spans="1:6" x14ac:dyDescent="0.25">
      <c r="A594" s="58"/>
      <c r="B594" s="170"/>
      <c r="C594" s="171"/>
      <c r="D594" s="172"/>
      <c r="E594" s="212"/>
      <c r="F594" s="173"/>
    </row>
    <row r="595" spans="1:6" x14ac:dyDescent="0.25">
      <c r="A595" s="58" t="s">
        <v>82</v>
      </c>
      <c r="B595" s="174" t="s">
        <v>84</v>
      </c>
      <c r="C595" s="175">
        <v>1</v>
      </c>
      <c r="D595" s="176" t="s">
        <v>13</v>
      </c>
      <c r="E595" s="213">
        <v>200000</v>
      </c>
      <c r="F595" s="177">
        <f>C595*E595</f>
        <v>200000</v>
      </c>
    </row>
    <row r="596" spans="1:6" x14ac:dyDescent="0.25">
      <c r="A596" s="50"/>
      <c r="B596" s="156"/>
      <c r="C596" s="157"/>
      <c r="D596" s="158"/>
      <c r="E596" s="214"/>
      <c r="F596" s="159"/>
    </row>
    <row r="597" spans="1:6" ht="14.4" thickBot="1" x14ac:dyDescent="0.3">
      <c r="A597" s="70"/>
      <c r="B597" s="178" t="s">
        <v>45</v>
      </c>
      <c r="C597" s="179"/>
      <c r="D597" s="180"/>
      <c r="E597" s="215"/>
      <c r="F597" s="181">
        <f>SUM(F595:F596)</f>
        <v>200000</v>
      </c>
    </row>
    <row r="598" spans="1:6" x14ac:dyDescent="0.25">
      <c r="A598" s="161"/>
      <c r="B598" s="162"/>
      <c r="C598" s="163"/>
      <c r="D598" s="164"/>
      <c r="E598" s="216"/>
      <c r="F598" s="164"/>
    </row>
    <row r="599" spans="1:6" s="182" customFormat="1" ht="13.2" x14ac:dyDescent="0.25">
      <c r="A599" s="131"/>
      <c r="B599" s="132"/>
      <c r="C599" s="133"/>
      <c r="D599" s="134"/>
      <c r="E599" s="209"/>
      <c r="F599" s="134"/>
    </row>
    <row r="600" spans="1:6" s="182" customFormat="1" thickBot="1" x14ac:dyDescent="0.3">
      <c r="A600" s="131"/>
      <c r="B600" s="132"/>
      <c r="C600" s="133"/>
      <c r="D600" s="134"/>
      <c r="E600" s="209"/>
      <c r="F600" s="134"/>
    </row>
    <row r="601" spans="1:6" s="182" customFormat="1" thickBot="1" x14ac:dyDescent="0.3">
      <c r="A601" s="2782"/>
      <c r="B601" s="2783"/>
      <c r="C601" s="2783"/>
      <c r="D601" s="2783"/>
      <c r="E601" s="2783"/>
      <c r="F601" s="2784"/>
    </row>
    <row r="602" spans="1:6" s="182" customFormat="1" thickBot="1" x14ac:dyDescent="0.3">
      <c r="A602" s="2779" t="s">
        <v>85</v>
      </c>
      <c r="B602" s="2780"/>
      <c r="C602" s="2780"/>
      <c r="D602" s="2780"/>
      <c r="E602" s="2780"/>
      <c r="F602" s="2781"/>
    </row>
    <row r="603" spans="1:6" s="182" customFormat="1" thickBot="1" x14ac:dyDescent="0.3">
      <c r="A603" s="135"/>
      <c r="B603" s="136"/>
      <c r="C603" s="137"/>
      <c r="D603" s="138"/>
      <c r="E603" s="217"/>
      <c r="F603" s="139"/>
    </row>
    <row r="604" spans="1:6" s="182" customFormat="1" thickBot="1" x14ac:dyDescent="0.3">
      <c r="A604" s="110" t="s">
        <v>86</v>
      </c>
      <c r="B604" s="111" t="s">
        <v>1</v>
      </c>
      <c r="C604" s="112" t="s">
        <v>2</v>
      </c>
      <c r="D604" s="113" t="s">
        <v>3</v>
      </c>
      <c r="E604" s="204" t="s">
        <v>4</v>
      </c>
      <c r="F604" s="114" t="s">
        <v>5</v>
      </c>
    </row>
    <row r="605" spans="1:6" s="182" customFormat="1" ht="13.2" x14ac:dyDescent="0.25">
      <c r="A605" s="9"/>
      <c r="B605" s="6"/>
      <c r="C605" s="10"/>
      <c r="D605" s="7"/>
      <c r="E605" s="206"/>
      <c r="F605" s="11"/>
    </row>
    <row r="606" spans="1:6" s="182" customFormat="1" ht="13.2" x14ac:dyDescent="0.25">
      <c r="A606" s="9"/>
      <c r="B606" s="6"/>
      <c r="C606" s="120"/>
      <c r="D606" s="7"/>
      <c r="E606" s="206"/>
      <c r="F606" s="121"/>
    </row>
    <row r="607" spans="1:6" s="182" customFormat="1" ht="13.2" x14ac:dyDescent="0.25">
      <c r="A607" s="122" t="s">
        <v>87</v>
      </c>
      <c r="B607" s="140" t="s">
        <v>8</v>
      </c>
      <c r="C607" s="124"/>
      <c r="D607" s="125" t="s">
        <v>83</v>
      </c>
      <c r="E607" s="207"/>
      <c r="F607" s="141">
        <f>+F55</f>
        <v>2870000</v>
      </c>
    </row>
    <row r="608" spans="1:6" s="182" customFormat="1" ht="13.2" x14ac:dyDescent="0.25">
      <c r="A608" s="122"/>
      <c r="B608" s="123"/>
      <c r="C608" s="124"/>
      <c r="D608" s="125"/>
      <c r="E608" s="207"/>
      <c r="F608" s="141"/>
    </row>
    <row r="609" spans="1:6" s="182" customFormat="1" ht="13.2" x14ac:dyDescent="0.25">
      <c r="A609" s="122" t="s">
        <v>88</v>
      </c>
      <c r="B609" s="140" t="s">
        <v>89</v>
      </c>
      <c r="C609" s="124"/>
      <c r="D609" s="125" t="s">
        <v>83</v>
      </c>
      <c r="E609" s="207"/>
      <c r="F609" s="141">
        <f>F590</f>
        <v>0</v>
      </c>
    </row>
    <row r="610" spans="1:6" s="182" customFormat="1" ht="13.2" x14ac:dyDescent="0.25">
      <c r="A610" s="122"/>
      <c r="B610" s="123"/>
      <c r="C610" s="124"/>
      <c r="D610" s="125"/>
      <c r="E610" s="207"/>
      <c r="F610" s="141"/>
    </row>
    <row r="611" spans="1:6" s="182" customFormat="1" ht="13.2" x14ac:dyDescent="0.25">
      <c r="A611" s="142"/>
      <c r="B611" s="143" t="s">
        <v>90</v>
      </c>
      <c r="C611" s="144"/>
      <c r="D611" s="125" t="s">
        <v>83</v>
      </c>
      <c r="E611" s="207"/>
      <c r="F611" s="145">
        <f>SUM(F607:F610)</f>
        <v>2870000</v>
      </c>
    </row>
    <row r="612" spans="1:6" s="182" customFormat="1" ht="13.2" x14ac:dyDescent="0.25">
      <c r="A612" s="142"/>
      <c r="B612" s="146"/>
      <c r="C612" s="144"/>
      <c r="D612" s="125"/>
      <c r="E612" s="207"/>
      <c r="F612" s="145"/>
    </row>
    <row r="613" spans="1:6" s="182" customFormat="1" ht="13.2" x14ac:dyDescent="0.25">
      <c r="A613" s="142"/>
      <c r="B613" s="146" t="s">
        <v>91</v>
      </c>
      <c r="C613" s="144"/>
      <c r="D613" s="125" t="s">
        <v>83</v>
      </c>
      <c r="E613" s="207"/>
      <c r="F613" s="145"/>
    </row>
    <row r="614" spans="1:6" s="182" customFormat="1" ht="13.2" x14ac:dyDescent="0.25">
      <c r="A614" s="142"/>
      <c r="B614" s="146"/>
      <c r="C614" s="144"/>
      <c r="D614" s="125"/>
      <c r="E614" s="207"/>
      <c r="F614" s="145"/>
    </row>
    <row r="615" spans="1:6" s="182" customFormat="1" ht="13.2" x14ac:dyDescent="0.25">
      <c r="A615" s="142"/>
      <c r="B615" s="143" t="s">
        <v>92</v>
      </c>
      <c r="C615" s="144"/>
      <c r="D615" s="125" t="s">
        <v>83</v>
      </c>
      <c r="E615" s="207"/>
      <c r="F615" s="145"/>
    </row>
    <row r="616" spans="1:6" s="182" customFormat="1" ht="13.2" x14ac:dyDescent="0.25">
      <c r="A616" s="142"/>
      <c r="B616" s="146"/>
      <c r="C616" s="144"/>
      <c r="D616" s="125"/>
      <c r="E616" s="207"/>
      <c r="F616" s="145"/>
    </row>
    <row r="617" spans="1:6" s="182" customFormat="1" ht="13.2" x14ac:dyDescent="0.25">
      <c r="A617" s="122" t="s">
        <v>93</v>
      </c>
      <c r="B617" s="146" t="s">
        <v>94</v>
      </c>
      <c r="C617" s="144"/>
      <c r="D617" s="125" t="s">
        <v>83</v>
      </c>
      <c r="E617" s="207"/>
      <c r="F617" s="145">
        <f>F597</f>
        <v>200000</v>
      </c>
    </row>
    <row r="618" spans="1:6" s="182" customFormat="1" ht="13.2" x14ac:dyDescent="0.25">
      <c r="A618" s="142"/>
      <c r="B618" s="146"/>
      <c r="C618" s="144"/>
      <c r="D618" s="125"/>
      <c r="E618" s="207"/>
      <c r="F618" s="145"/>
    </row>
    <row r="619" spans="1:6" s="182" customFormat="1" ht="13.2" x14ac:dyDescent="0.25">
      <c r="A619" s="142"/>
      <c r="B619" s="143" t="s">
        <v>95</v>
      </c>
      <c r="C619" s="144"/>
      <c r="D619" s="125"/>
      <c r="E619" s="207"/>
      <c r="F619" s="145">
        <f>SUM(F611:F617)</f>
        <v>3070000</v>
      </c>
    </row>
    <row r="620" spans="1:6" s="182" customFormat="1" ht="13.2" x14ac:dyDescent="0.25">
      <c r="A620" s="142"/>
      <c r="B620" s="146"/>
      <c r="C620" s="144"/>
      <c r="D620" s="125"/>
      <c r="E620" s="207"/>
      <c r="F620" s="145"/>
    </row>
    <row r="621" spans="1:6" s="182" customFormat="1" ht="13.2" x14ac:dyDescent="0.25">
      <c r="A621" s="142"/>
      <c r="B621" s="146" t="s">
        <v>96</v>
      </c>
      <c r="C621" s="144"/>
      <c r="D621" s="125" t="s">
        <v>83</v>
      </c>
      <c r="E621" s="207"/>
      <c r="F621" s="147">
        <f>F619*0.1</f>
        <v>307000</v>
      </c>
    </row>
    <row r="622" spans="1:6" s="182" customFormat="1" ht="13.2" x14ac:dyDescent="0.25">
      <c r="A622" s="142"/>
      <c r="B622" s="146"/>
      <c r="C622" s="144"/>
      <c r="D622" s="125"/>
      <c r="E622" s="207"/>
      <c r="F622" s="147"/>
    </row>
    <row r="623" spans="1:6" s="182" customFormat="1" thickBot="1" x14ac:dyDescent="0.3">
      <c r="A623" s="148"/>
      <c r="B623" s="149" t="s">
        <v>97</v>
      </c>
      <c r="C623" s="150"/>
      <c r="D623" s="125" t="s">
        <v>83</v>
      </c>
      <c r="E623" s="206"/>
      <c r="F623" s="151">
        <f>SUM(F619:F621)</f>
        <v>3377000</v>
      </c>
    </row>
    <row r="624" spans="1:6" s="182" customFormat="1" ht="14.4" thickTop="1" thickBot="1" x14ac:dyDescent="0.3">
      <c r="A624" s="152"/>
      <c r="B624" s="153"/>
      <c r="C624" s="154"/>
      <c r="D624" s="138"/>
      <c r="E624" s="217"/>
      <c r="F624" s="155"/>
    </row>
    <row r="625" spans="1:6" s="182" customFormat="1" ht="13.2" x14ac:dyDescent="0.25">
      <c r="A625" s="131"/>
      <c r="B625" s="132"/>
      <c r="C625" s="133"/>
      <c r="D625" s="134"/>
      <c r="E625" s="209"/>
      <c r="F625" s="134"/>
    </row>
    <row r="626" spans="1:6" s="182" customFormat="1" ht="13.2" x14ac:dyDescent="0.25">
      <c r="A626" s="183"/>
      <c r="B626" s="184"/>
      <c r="C626" s="185"/>
      <c r="D626" s="183"/>
      <c r="E626" s="218"/>
      <c r="F626" s="185"/>
    </row>
    <row r="627" spans="1:6" s="182" customFormat="1" ht="13.2" x14ac:dyDescent="0.25">
      <c r="A627" s="183"/>
      <c r="B627" s="184"/>
      <c r="C627" s="185"/>
      <c r="D627" s="183"/>
      <c r="E627" s="218"/>
      <c r="F627" s="185"/>
    </row>
  </sheetData>
  <mergeCells count="5">
    <mergeCell ref="A1:F1"/>
    <mergeCell ref="A2:F2"/>
    <mergeCell ref="A567:F567"/>
    <mergeCell ref="A601:F601"/>
    <mergeCell ref="A602:F602"/>
  </mergeCells>
  <pageMargins left="0.5" right="0.5" top="0.25" bottom="0.25" header="0.5" footer="0.5"/>
  <pageSetup orientation="portrait" verticalDpi="0" r:id="rId1"/>
  <headerFooter alignWithMargins="0">
    <oddFooter>&amp;C&amp;P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O31"/>
  <sheetViews>
    <sheetView view="pageBreakPreview" topLeftCell="A7" zoomScale="95" zoomScaleNormal="85" zoomScaleSheetLayoutView="95" workbookViewId="0">
      <selection activeCell="F19" sqref="F19"/>
    </sheetView>
  </sheetViews>
  <sheetFormatPr defaultColWidth="9.21875" defaultRowHeight="13.8" x14ac:dyDescent="0.25"/>
  <cols>
    <col min="1" max="1" width="6.44140625" style="38" customWidth="1"/>
    <col min="2" max="2" width="51.5546875" style="36" customWidth="1"/>
    <col min="3" max="3" width="6.109375" style="39" customWidth="1"/>
    <col min="4" max="4" width="6.109375" style="38" customWidth="1"/>
    <col min="5" max="5" width="13.33203125" style="202" bestFit="1" customWidth="1"/>
    <col min="6" max="6" width="11.88671875" style="39" bestFit="1" customWidth="1"/>
    <col min="7" max="7" width="11.88671875" style="24" bestFit="1" customWidth="1"/>
    <col min="8" max="8" width="12.44140625" style="24" bestFit="1" customWidth="1"/>
    <col min="9" max="10" width="11.88671875" style="24" bestFit="1" customWidth="1"/>
    <col min="11" max="12" width="12.88671875" style="24" bestFit="1" customWidth="1"/>
    <col min="13" max="13" width="11.88671875" style="24" bestFit="1" customWidth="1"/>
    <col min="14" max="14" width="9.21875" style="24"/>
    <col min="15" max="15" width="10.44140625" style="24" bestFit="1" customWidth="1"/>
    <col min="16" max="16384" width="9.21875" style="24"/>
  </cols>
  <sheetData>
    <row r="1" spans="1:15" s="31" customFormat="1" ht="14.4" thickBot="1" x14ac:dyDescent="0.3">
      <c r="A1" s="45" t="s">
        <v>0</v>
      </c>
      <c r="B1" s="46" t="s">
        <v>1</v>
      </c>
      <c r="C1" s="47" t="s">
        <v>2</v>
      </c>
      <c r="D1" s="48" t="s">
        <v>3</v>
      </c>
      <c r="E1" s="188" t="s">
        <v>4</v>
      </c>
      <c r="F1" s="49" t="s">
        <v>5</v>
      </c>
    </row>
    <row r="2" spans="1:15" x14ac:dyDescent="0.25">
      <c r="A2" s="21">
        <v>1</v>
      </c>
      <c r="B2" s="332" t="s">
        <v>1141</v>
      </c>
      <c r="C2" s="248"/>
      <c r="D2" s="241"/>
      <c r="E2" s="197"/>
      <c r="F2" s="41"/>
    </row>
    <row r="3" spans="1:15" x14ac:dyDescent="0.25">
      <c r="A3" s="738"/>
      <c r="B3" s="815"/>
      <c r="C3" s="740"/>
      <c r="D3" s="741"/>
      <c r="E3" s="742"/>
      <c r="F3" s="743"/>
    </row>
    <row r="4" spans="1:15" ht="59.4" customHeight="1" x14ac:dyDescent="0.25">
      <c r="A4" s="226"/>
      <c r="B4" s="303" t="s">
        <v>1137</v>
      </c>
      <c r="C4" s="304"/>
      <c r="D4" s="251"/>
      <c r="E4" s="293"/>
      <c r="F4" s="299"/>
    </row>
    <row r="5" spans="1:15" x14ac:dyDescent="0.25">
      <c r="A5" s="226"/>
      <c r="B5" s="303"/>
      <c r="C5" s="304"/>
      <c r="D5" s="251"/>
      <c r="E5" s="293"/>
      <c r="F5" s="299"/>
    </row>
    <row r="6" spans="1:15" ht="48.6" customHeight="1" x14ac:dyDescent="0.25">
      <c r="A6" s="226"/>
      <c r="B6" s="324" t="s">
        <v>1152</v>
      </c>
      <c r="C6" s="304"/>
      <c r="D6" s="251"/>
      <c r="E6" s="293"/>
      <c r="F6" s="299"/>
    </row>
    <row r="7" spans="1:15" x14ac:dyDescent="0.25">
      <c r="A7" s="226"/>
      <c r="B7" s="303"/>
      <c r="C7" s="304"/>
      <c r="D7" s="251"/>
      <c r="E7" s="293"/>
      <c r="F7" s="299"/>
    </row>
    <row r="8" spans="1:15" ht="27.6" x14ac:dyDescent="0.25">
      <c r="A8" s="226"/>
      <c r="B8" s="324" t="s">
        <v>1153</v>
      </c>
      <c r="C8" s="304"/>
      <c r="D8" s="251"/>
      <c r="E8" s="293"/>
      <c r="F8" s="299"/>
    </row>
    <row r="9" spans="1:15" x14ac:dyDescent="0.25">
      <c r="A9" s="226"/>
      <c r="B9" s="324"/>
      <c r="C9" s="304"/>
      <c r="D9" s="251"/>
      <c r="E9" s="293"/>
      <c r="F9" s="299"/>
    </row>
    <row r="10" spans="1:15" ht="89.4" customHeight="1" x14ac:dyDescent="0.25">
      <c r="A10" s="226"/>
      <c r="B10" s="303" t="s">
        <v>1139</v>
      </c>
      <c r="C10" s="304"/>
      <c r="D10" s="251"/>
      <c r="E10" s="293"/>
      <c r="F10" s="299"/>
    </row>
    <row r="11" spans="1:15" x14ac:dyDescent="0.25">
      <c r="A11" s="226"/>
      <c r="B11" s="303"/>
      <c r="C11" s="304"/>
      <c r="D11" s="251"/>
      <c r="E11" s="293"/>
      <c r="F11" s="299"/>
    </row>
    <row r="12" spans="1:15" x14ac:dyDescent="0.25">
      <c r="A12" s="226"/>
      <c r="B12" s="326" t="s">
        <v>1138</v>
      </c>
      <c r="C12" s="304"/>
      <c r="D12" s="251"/>
      <c r="E12" s="293"/>
      <c r="F12" s="299"/>
    </row>
    <row r="13" spans="1:15" ht="90.6" customHeight="1" x14ac:dyDescent="0.25">
      <c r="A13" s="226"/>
      <c r="B13" s="303" t="s">
        <v>1331</v>
      </c>
      <c r="C13" s="304"/>
      <c r="D13" s="251"/>
      <c r="E13" s="293"/>
      <c r="F13" s="299"/>
      <c r="J13" s="24">
        <v>3585147</v>
      </c>
      <c r="M13" s="24">
        <f>3.5</f>
        <v>3.5</v>
      </c>
      <c r="N13" s="24">
        <f>M13/6*10</f>
        <v>5.8333333333333339</v>
      </c>
      <c r="O13" s="24">
        <f>N13*1.15</f>
        <v>6.7083333333333339</v>
      </c>
    </row>
    <row r="14" spans="1:15" x14ac:dyDescent="0.25">
      <c r="A14" s="226"/>
      <c r="B14" s="326"/>
      <c r="C14" s="304"/>
      <c r="D14" s="251"/>
      <c r="E14" s="293"/>
      <c r="F14" s="299"/>
      <c r="G14" s="833">
        <v>4200000</v>
      </c>
    </row>
    <row r="15" spans="1:15" x14ac:dyDescent="0.25">
      <c r="A15" s="226">
        <f>1.01</f>
        <v>1.01</v>
      </c>
      <c r="B15" s="303" t="s">
        <v>1140</v>
      </c>
      <c r="C15" s="251">
        <v>1</v>
      </c>
      <c r="D15" s="251" t="s">
        <v>13</v>
      </c>
      <c r="E15" s="293">
        <v>6700000</v>
      </c>
      <c r="F15" s="299">
        <f>E15</f>
        <v>6700000</v>
      </c>
      <c r="G15" s="834"/>
      <c r="H15" s="24">
        <v>3585147</v>
      </c>
      <c r="I15" s="24">
        <f>H15*1.08</f>
        <v>3871958.7600000002</v>
      </c>
      <c r="J15" s="24">
        <v>3075000</v>
      </c>
      <c r="K15" s="24">
        <f>J15*1.1</f>
        <v>3382500.0000000005</v>
      </c>
    </row>
    <row r="16" spans="1:15" x14ac:dyDescent="0.25">
      <c r="A16" s="226"/>
      <c r="B16" s="303"/>
      <c r="C16" s="251"/>
      <c r="D16" s="251"/>
      <c r="E16" s="293"/>
      <c r="F16" s="299"/>
    </row>
    <row r="17" spans="1:15" x14ac:dyDescent="0.25">
      <c r="A17" s="226">
        <f>A15+0.01</f>
        <v>1.02</v>
      </c>
      <c r="B17" s="303" t="s">
        <v>1199</v>
      </c>
      <c r="C17" s="251">
        <v>1</v>
      </c>
      <c r="D17" s="251" t="s">
        <v>13</v>
      </c>
      <c r="E17" s="293">
        <v>500000</v>
      </c>
      <c r="F17" s="299">
        <f>E17</f>
        <v>500000</v>
      </c>
    </row>
    <row r="18" spans="1:15" x14ac:dyDescent="0.25">
      <c r="A18" s="226"/>
      <c r="B18" s="303"/>
      <c r="C18" s="304"/>
      <c r="D18" s="251"/>
      <c r="E18" s="293"/>
      <c r="F18" s="299"/>
    </row>
    <row r="19" spans="1:15" s="12" customFormat="1" ht="27.6" x14ac:dyDescent="0.25">
      <c r="A19" s="102"/>
      <c r="B19" s="285" t="s">
        <v>1144</v>
      </c>
      <c r="C19" s="249"/>
      <c r="D19" s="242"/>
      <c r="E19" s="199"/>
      <c r="F19" s="106"/>
    </row>
    <row r="21" spans="1:15" x14ac:dyDescent="0.25">
      <c r="L21" s="24" t="e">
        <f>#REF!*1.1</f>
        <v>#REF!</v>
      </c>
      <c r="M21" s="24">
        <v>165000</v>
      </c>
    </row>
    <row r="26" spans="1:15" x14ac:dyDescent="0.25">
      <c r="M26" s="24">
        <f>SUM(M20:M25)</f>
        <v>165000</v>
      </c>
    </row>
    <row r="30" spans="1:15" x14ac:dyDescent="0.25">
      <c r="M30" s="24">
        <f>M26*1.1</f>
        <v>181500.00000000003</v>
      </c>
      <c r="O30" s="24">
        <f>M30-M26</f>
        <v>16500.000000000029</v>
      </c>
    </row>
    <row r="31" spans="1:15" x14ac:dyDescent="0.25">
      <c r="O31" s="24" t="e">
        <f>#REF!-M26</f>
        <v>#REF!</v>
      </c>
    </row>
  </sheetData>
  <pageMargins left="0.5" right="0.5" top="0.25" bottom="0.25" header="0.5" footer="0.5"/>
  <pageSetup orientation="portrait" r:id="rId1"/>
  <headerFooter alignWithMargins="0">
    <oddFooter>&amp;C&amp;P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M57"/>
  <sheetViews>
    <sheetView view="pageBreakPreview" topLeftCell="A10" zoomScale="95" zoomScaleNormal="85" zoomScaleSheetLayoutView="95" workbookViewId="0">
      <selection activeCell="F29" sqref="F29"/>
    </sheetView>
  </sheetViews>
  <sheetFormatPr defaultColWidth="9.21875" defaultRowHeight="13.8" x14ac:dyDescent="0.25"/>
  <cols>
    <col min="1" max="1" width="6.44140625" style="38" customWidth="1"/>
    <col min="2" max="2" width="50.88671875" style="36" customWidth="1"/>
    <col min="3" max="3" width="6.109375" style="39" customWidth="1"/>
    <col min="4" max="4" width="6.109375" style="38" customWidth="1"/>
    <col min="5" max="5" width="13.33203125" style="202" bestFit="1" customWidth="1"/>
    <col min="6" max="6" width="11.88671875" style="39" bestFit="1" customWidth="1"/>
    <col min="7" max="7" width="10.44140625" style="24" bestFit="1" customWidth="1"/>
    <col min="8" max="8" width="12.44140625" style="24" bestFit="1" customWidth="1"/>
    <col min="9" max="9" width="10" style="24" bestFit="1" customWidth="1"/>
    <col min="10" max="10" width="11" style="24" bestFit="1" customWidth="1"/>
    <col min="11" max="12" width="12.88671875" style="24" bestFit="1" customWidth="1"/>
    <col min="13" max="13" width="11.88671875" style="24" bestFit="1" customWidth="1"/>
    <col min="14" max="16384" width="9.21875" style="24"/>
  </cols>
  <sheetData>
    <row r="1" spans="1:6" s="31" customFormat="1" ht="14.4" thickBot="1" x14ac:dyDescent="0.3">
      <c r="A1" s="45" t="s">
        <v>0</v>
      </c>
      <c r="B1" s="46" t="s">
        <v>1</v>
      </c>
      <c r="C1" s="47" t="s">
        <v>2</v>
      </c>
      <c r="D1" s="48" t="s">
        <v>3</v>
      </c>
      <c r="E1" s="188" t="s">
        <v>4</v>
      </c>
      <c r="F1" s="49" t="s">
        <v>5</v>
      </c>
    </row>
    <row r="2" spans="1:6" x14ac:dyDescent="0.25">
      <c r="A2" s="334">
        <v>1</v>
      </c>
      <c r="B2" s="332" t="s">
        <v>1289</v>
      </c>
      <c r="C2" s="248"/>
      <c r="D2" s="241"/>
      <c r="E2" s="197"/>
      <c r="F2" s="41"/>
    </row>
    <row r="3" spans="1:6" x14ac:dyDescent="0.25">
      <c r="A3" s="814"/>
      <c r="B3" s="815"/>
      <c r="C3" s="740"/>
      <c r="D3" s="741"/>
      <c r="E3" s="742"/>
      <c r="F3" s="743"/>
    </row>
    <row r="4" spans="1:6" ht="39.6" x14ac:dyDescent="0.25">
      <c r="A4" s="335"/>
      <c r="B4" s="688" t="s">
        <v>1175</v>
      </c>
      <c r="C4" s="304"/>
      <c r="D4" s="251"/>
      <c r="E4" s="293"/>
      <c r="F4" s="299"/>
    </row>
    <row r="5" spans="1:6" x14ac:dyDescent="0.25">
      <c r="A5" s="335"/>
      <c r="B5" s="326"/>
      <c r="C5" s="304"/>
      <c r="D5" s="251"/>
      <c r="E5" s="293"/>
      <c r="F5" s="299"/>
    </row>
    <row r="6" spans="1:6" ht="66" x14ac:dyDescent="0.25">
      <c r="A6" s="335"/>
      <c r="B6" s="688" t="s">
        <v>1176</v>
      </c>
      <c r="C6" s="304"/>
      <c r="D6" s="251"/>
      <c r="E6" s="293"/>
      <c r="F6" s="299"/>
    </row>
    <row r="7" spans="1:6" x14ac:dyDescent="0.25">
      <c r="A7" s="335"/>
      <c r="B7" s="689"/>
      <c r="C7" s="304"/>
      <c r="D7" s="251"/>
      <c r="E7" s="293"/>
      <c r="F7" s="299"/>
    </row>
    <row r="8" spans="1:6" ht="26.4" x14ac:dyDescent="0.25">
      <c r="A8" s="335"/>
      <c r="B8" s="688" t="s">
        <v>1188</v>
      </c>
      <c r="C8" s="304"/>
      <c r="D8" s="251"/>
      <c r="E8" s="293"/>
      <c r="F8" s="299"/>
    </row>
    <row r="9" spans="1:6" x14ac:dyDescent="0.25">
      <c r="A9" s="335"/>
      <c r="B9" s="690"/>
      <c r="C9" s="304"/>
      <c r="D9" s="251"/>
      <c r="E9" s="293"/>
      <c r="F9" s="299"/>
    </row>
    <row r="10" spans="1:6" x14ac:dyDescent="0.25">
      <c r="A10" s="335"/>
      <c r="B10" s="690" t="s">
        <v>1179</v>
      </c>
      <c r="C10" s="304"/>
      <c r="D10" s="251"/>
      <c r="E10" s="293"/>
      <c r="F10" s="299"/>
    </row>
    <row r="11" spans="1:6" x14ac:dyDescent="0.25">
      <c r="A11" s="335"/>
      <c r="B11" s="690" t="s">
        <v>1180</v>
      </c>
      <c r="C11" s="304"/>
      <c r="D11" s="251"/>
      <c r="E11" s="293"/>
      <c r="F11" s="299"/>
    </row>
    <row r="12" spans="1:6" x14ac:dyDescent="0.25">
      <c r="A12" s="335"/>
      <c r="B12" s="690" t="s">
        <v>1181</v>
      </c>
      <c r="C12" s="304"/>
      <c r="D12" s="251"/>
      <c r="E12" s="293"/>
      <c r="F12" s="299"/>
    </row>
    <row r="13" spans="1:6" x14ac:dyDescent="0.25">
      <c r="A13" s="335"/>
      <c r="B13" s="690" t="s">
        <v>1182</v>
      </c>
      <c r="C13" s="304"/>
      <c r="D13" s="251"/>
      <c r="E13" s="293"/>
      <c r="F13" s="299"/>
    </row>
    <row r="14" spans="1:6" x14ac:dyDescent="0.25">
      <c r="A14" s="335"/>
      <c r="B14" s="690" t="s">
        <v>1183</v>
      </c>
      <c r="C14" s="304"/>
      <c r="D14" s="251"/>
      <c r="E14" s="293"/>
      <c r="F14" s="299"/>
    </row>
    <row r="15" spans="1:6" x14ac:dyDescent="0.25">
      <c r="A15" s="335"/>
      <c r="B15" s="690" t="s">
        <v>1184</v>
      </c>
      <c r="C15" s="304"/>
      <c r="D15" s="251"/>
      <c r="E15" s="293"/>
      <c r="F15" s="299"/>
    </row>
    <row r="16" spans="1:6" x14ac:dyDescent="0.25">
      <c r="A16" s="335"/>
      <c r="B16" s="690" t="s">
        <v>1384</v>
      </c>
      <c r="C16" s="304"/>
      <c r="D16" s="251"/>
      <c r="E16" s="293"/>
      <c r="F16" s="299"/>
    </row>
    <row r="17" spans="1:13" x14ac:dyDescent="0.25">
      <c r="A17" s="226"/>
      <c r="B17" s="689"/>
      <c r="C17" s="304"/>
      <c r="D17" s="251"/>
      <c r="E17" s="293"/>
      <c r="F17" s="299"/>
    </row>
    <row r="18" spans="1:13" ht="26.4" x14ac:dyDescent="0.25">
      <c r="A18" s="226">
        <f>A2+0.01</f>
        <v>1.01</v>
      </c>
      <c r="B18" s="691" t="s">
        <v>1189</v>
      </c>
      <c r="C18" s="304"/>
      <c r="D18" s="251"/>
      <c r="E18" s="293"/>
      <c r="F18" s="299"/>
    </row>
    <row r="19" spans="1:13" x14ac:dyDescent="0.25">
      <c r="A19" s="226"/>
      <c r="B19" s="691" t="s">
        <v>715</v>
      </c>
      <c r="C19" s="304">
        <v>2</v>
      </c>
      <c r="D19" s="251" t="s">
        <v>981</v>
      </c>
      <c r="E19" s="293">
        <f>(15500+3500)*1.25</f>
        <v>23750</v>
      </c>
      <c r="F19" s="299">
        <f>E19*C19</f>
        <v>47500</v>
      </c>
    </row>
    <row r="20" spans="1:13" x14ac:dyDescent="0.25">
      <c r="A20" s="226"/>
      <c r="B20" s="691" t="s">
        <v>716</v>
      </c>
      <c r="C20" s="304">
        <v>2</v>
      </c>
      <c r="D20" s="251" t="s">
        <v>981</v>
      </c>
      <c r="E20" s="293">
        <f>E19</f>
        <v>23750</v>
      </c>
      <c r="F20" s="299">
        <f t="shared" ref="F20" si="0">E20*C20</f>
        <v>47500</v>
      </c>
    </row>
    <row r="21" spans="1:13" x14ac:dyDescent="0.25">
      <c r="A21" s="226"/>
      <c r="B21" s="689"/>
      <c r="C21" s="304"/>
      <c r="D21" s="251"/>
      <c r="E21" s="293"/>
      <c r="F21" s="299"/>
    </row>
    <row r="22" spans="1:13" ht="26.4" x14ac:dyDescent="0.25">
      <c r="A22" s="226">
        <f>A18+0.01</f>
        <v>1.02</v>
      </c>
      <c r="B22" s="688" t="s">
        <v>1383</v>
      </c>
      <c r="C22" s="304"/>
      <c r="D22" s="251"/>
      <c r="E22" s="293"/>
      <c r="F22" s="299"/>
    </row>
    <row r="23" spans="1:13" x14ac:dyDescent="0.25">
      <c r="A23" s="335"/>
      <c r="B23" s="691" t="s">
        <v>715</v>
      </c>
      <c r="C23" s="304">
        <v>2</v>
      </c>
      <c r="D23" s="251" t="s">
        <v>981</v>
      </c>
      <c r="E23" s="293">
        <f>(15000+3500)*1.25</f>
        <v>23125</v>
      </c>
      <c r="F23" s="299">
        <f>E23*C23</f>
        <v>46250</v>
      </c>
    </row>
    <row r="24" spans="1:13" x14ac:dyDescent="0.25">
      <c r="A24" s="335"/>
      <c r="B24" s="691"/>
      <c r="C24" s="304"/>
      <c r="D24" s="251"/>
      <c r="E24" s="293"/>
      <c r="F24" s="299"/>
    </row>
    <row r="25" spans="1:13" ht="26.4" x14ac:dyDescent="0.25">
      <c r="A25" s="226">
        <f>A22+0.01</f>
        <v>1.03</v>
      </c>
      <c r="B25" s="688" t="s">
        <v>1382</v>
      </c>
      <c r="C25" s="304"/>
      <c r="D25" s="251"/>
      <c r="E25" s="293"/>
      <c r="F25" s="299"/>
    </row>
    <row r="26" spans="1:13" x14ac:dyDescent="0.25">
      <c r="A26" s="335"/>
      <c r="B26" s="691" t="s">
        <v>715</v>
      </c>
      <c r="C26" s="304">
        <v>2</v>
      </c>
      <c r="D26" s="251" t="s">
        <v>981</v>
      </c>
      <c r="E26" s="293">
        <f>(28000+3500)*1.25</f>
        <v>39375</v>
      </c>
      <c r="F26" s="299">
        <f>E26*C26</f>
        <v>78750</v>
      </c>
    </row>
    <row r="27" spans="1:13" x14ac:dyDescent="0.25">
      <c r="A27" s="335"/>
      <c r="B27" s="691" t="s">
        <v>716</v>
      </c>
      <c r="C27" s="304">
        <v>2</v>
      </c>
      <c r="D27" s="251" t="s">
        <v>981</v>
      </c>
      <c r="E27" s="293">
        <f>(28000+3500)*1.25</f>
        <v>39375</v>
      </c>
      <c r="F27" s="299">
        <f t="shared" ref="F27" si="1">E27*C27</f>
        <v>78750</v>
      </c>
    </row>
    <row r="28" spans="1:13" x14ac:dyDescent="0.25">
      <c r="A28" s="335"/>
      <c r="B28" s="691"/>
      <c r="C28" s="304"/>
      <c r="D28" s="251"/>
      <c r="E28" s="293"/>
      <c r="F28" s="299"/>
    </row>
    <row r="29" spans="1:13" s="659" customFormat="1" ht="27.6" x14ac:dyDescent="0.25">
      <c r="A29" s="657"/>
      <c r="B29" s="654" t="s">
        <v>1290</v>
      </c>
      <c r="C29" s="658"/>
      <c r="D29" s="655"/>
      <c r="E29" s="656"/>
      <c r="F29" s="699"/>
    </row>
    <row r="30" spans="1:13" x14ac:dyDescent="0.25">
      <c r="B30" s="36" t="s">
        <v>1190</v>
      </c>
    </row>
    <row r="31" spans="1:13" x14ac:dyDescent="0.25">
      <c r="L31" s="24" t="e">
        <f>#REF!*1.1</f>
        <v>#REF!</v>
      </c>
      <c r="M31" s="24">
        <v>165000</v>
      </c>
    </row>
    <row r="34" spans="2:13" x14ac:dyDescent="0.25">
      <c r="B34" s="36" t="s">
        <v>1116</v>
      </c>
      <c r="E34" s="202" t="e">
        <f>#REF!*0.1</f>
        <v>#REF!</v>
      </c>
      <c r="F34" s="39">
        <f>52256/2.83</f>
        <v>18465.017667844524</v>
      </c>
      <c r="G34" s="24" t="e">
        <f>F34*E34</f>
        <v>#REF!</v>
      </c>
    </row>
    <row r="35" spans="2:13" x14ac:dyDescent="0.25">
      <c r="B35" s="36" t="s">
        <v>1117</v>
      </c>
      <c r="E35" s="202" t="e">
        <f>#REF!/2</f>
        <v>#REF!</v>
      </c>
      <c r="F35" s="39">
        <f>19579/9.29</f>
        <v>2107.5349838536063</v>
      </c>
      <c r="G35" s="24" t="e">
        <f>F35*E35</f>
        <v>#REF!</v>
      </c>
    </row>
    <row r="36" spans="2:13" x14ac:dyDescent="0.25">
      <c r="B36" s="36" t="s">
        <v>1118</v>
      </c>
      <c r="E36" s="202" t="e">
        <f>E34*65</f>
        <v>#REF!</v>
      </c>
      <c r="F36" s="39">
        <v>280</v>
      </c>
      <c r="G36" s="24" t="e">
        <f>F36*E36</f>
        <v>#REF!</v>
      </c>
      <c r="M36" s="24">
        <f>SUM(M30:M35)</f>
        <v>165000</v>
      </c>
    </row>
    <row r="38" spans="2:13" x14ac:dyDescent="0.25">
      <c r="G38" s="24" t="e">
        <f>SUM(G34:G37)</f>
        <v>#REF!</v>
      </c>
      <c r="H38" s="24" t="e">
        <f>G38/#REF!</f>
        <v>#REF!</v>
      </c>
    </row>
    <row r="40" spans="2:13" x14ac:dyDescent="0.25">
      <c r="M40" s="24">
        <f>M36*1.1</f>
        <v>181500.00000000003</v>
      </c>
    </row>
    <row r="46" spans="2:13" x14ac:dyDescent="0.25">
      <c r="B46" s="686" t="s">
        <v>1177</v>
      </c>
    </row>
    <row r="47" spans="2:13" x14ac:dyDescent="0.25">
      <c r="B47" s="686" t="s">
        <v>1178</v>
      </c>
    </row>
    <row r="48" spans="2:13" x14ac:dyDescent="0.25">
      <c r="B48" s="687"/>
    </row>
    <row r="49" spans="2:2" x14ac:dyDescent="0.25">
      <c r="B49" s="687" t="s">
        <v>1179</v>
      </c>
    </row>
    <row r="50" spans="2:2" x14ac:dyDescent="0.25">
      <c r="B50" s="687" t="s">
        <v>1180</v>
      </c>
    </row>
    <row r="51" spans="2:2" x14ac:dyDescent="0.25">
      <c r="B51" s="687" t="s">
        <v>1181</v>
      </c>
    </row>
    <row r="52" spans="2:2" x14ac:dyDescent="0.25">
      <c r="B52" s="687" t="s">
        <v>1182</v>
      </c>
    </row>
    <row r="53" spans="2:2" x14ac:dyDescent="0.25">
      <c r="B53" s="687" t="s">
        <v>1183</v>
      </c>
    </row>
    <row r="54" spans="2:2" x14ac:dyDescent="0.25">
      <c r="B54" s="687" t="s">
        <v>1184</v>
      </c>
    </row>
    <row r="55" spans="2:2" x14ac:dyDescent="0.25">
      <c r="B55" s="687" t="s">
        <v>1185</v>
      </c>
    </row>
    <row r="56" spans="2:2" x14ac:dyDescent="0.25">
      <c r="B56" s="687" t="s">
        <v>1186</v>
      </c>
    </row>
    <row r="57" spans="2:2" x14ac:dyDescent="0.25">
      <c r="B57" s="687" t="s">
        <v>1187</v>
      </c>
    </row>
  </sheetData>
  <pageMargins left="0.5" right="0.5" top="0.25" bottom="0.25" header="0.5" footer="0.5"/>
  <pageSetup orientation="portrait" r:id="rId1"/>
  <headerFooter alignWithMargins="0">
    <oddFooter>&amp;C&amp;P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M38"/>
  <sheetViews>
    <sheetView view="pageBreakPreview" topLeftCell="A16" zoomScaleNormal="85" zoomScaleSheetLayoutView="100" workbookViewId="0">
      <selection activeCell="C10" sqref="C10"/>
    </sheetView>
  </sheetViews>
  <sheetFormatPr defaultColWidth="9.21875" defaultRowHeight="13.8" x14ac:dyDescent="0.25"/>
  <cols>
    <col min="1" max="1" width="6.44140625" style="928" customWidth="1"/>
    <col min="2" max="2" width="50.88671875" style="36" customWidth="1"/>
    <col min="3" max="3" width="6.77734375" style="39" bestFit="1" customWidth="1"/>
    <col min="4" max="4" width="6.109375" style="38" customWidth="1"/>
    <col min="5" max="5" width="13.33203125" style="202" bestFit="1" customWidth="1"/>
    <col min="6" max="6" width="12.6640625" style="39" bestFit="1" customWidth="1"/>
    <col min="7" max="7" width="10.44140625" style="24" bestFit="1" customWidth="1"/>
    <col min="8" max="8" width="12.44140625" style="24" bestFit="1" customWidth="1"/>
    <col min="9" max="9" width="10" style="24" bestFit="1" customWidth="1"/>
    <col min="10" max="10" width="11" style="24" bestFit="1" customWidth="1"/>
    <col min="11" max="12" width="12.88671875" style="24" bestFit="1" customWidth="1"/>
    <col min="13" max="13" width="11.88671875" style="24" bestFit="1" customWidth="1"/>
    <col min="14" max="14" width="9.21875" style="24"/>
    <col min="15" max="15" width="10.44140625" style="24" bestFit="1" customWidth="1"/>
    <col min="16" max="16384" width="9.21875" style="24"/>
  </cols>
  <sheetData>
    <row r="1" spans="1:12" s="31" customFormat="1" ht="14.4" thickBot="1" x14ac:dyDescent="0.3">
      <c r="A1" s="642" t="s">
        <v>0</v>
      </c>
      <c r="B1" s="643" t="s">
        <v>1</v>
      </c>
      <c r="C1" s="642" t="s">
        <v>2</v>
      </c>
      <c r="D1" s="704" t="s">
        <v>3</v>
      </c>
      <c r="E1" s="703" t="s">
        <v>4</v>
      </c>
      <c r="F1" s="705" t="s">
        <v>5</v>
      </c>
    </row>
    <row r="2" spans="1:12" x14ac:dyDescent="0.25">
      <c r="A2" s="816">
        <v>1</v>
      </c>
      <c r="B2" s="817" t="s">
        <v>809</v>
      </c>
      <c r="C2" s="734"/>
      <c r="D2" s="735"/>
      <c r="E2" s="736"/>
      <c r="F2" s="737"/>
    </row>
    <row r="3" spans="1:12" x14ac:dyDescent="0.25">
      <c r="A3" s="335">
        <f>A2+0.01</f>
        <v>1.01</v>
      </c>
      <c r="B3" s="326" t="s">
        <v>1357</v>
      </c>
      <c r="C3" s="304"/>
      <c r="D3" s="251"/>
      <c r="E3" s="293"/>
      <c r="F3" s="299"/>
    </row>
    <row r="4" spans="1:12" ht="57.6" customHeight="1" x14ac:dyDescent="0.25">
      <c r="A4" s="335"/>
      <c r="B4" s="303" t="s">
        <v>1389</v>
      </c>
      <c r="C4" s="304"/>
      <c r="D4" s="251" t="s">
        <v>1292</v>
      </c>
      <c r="E4" s="293">
        <f>4300*1.25</f>
        <v>5375</v>
      </c>
      <c r="F4" s="299">
        <f>E4*C4</f>
        <v>0</v>
      </c>
      <c r="J4" s="24">
        <f>8*35</f>
        <v>280</v>
      </c>
      <c r="K4" s="24">
        <f>J4+100</f>
        <v>380</v>
      </c>
      <c r="L4" s="24">
        <f>K4*10.76</f>
        <v>4088.7999999999997</v>
      </c>
    </row>
    <row r="5" spans="1:12" ht="11.4" customHeight="1" x14ac:dyDescent="0.25">
      <c r="A5" s="335"/>
      <c r="B5" s="326"/>
      <c r="C5" s="304"/>
      <c r="D5" s="251"/>
      <c r="E5" s="293"/>
      <c r="F5" s="299"/>
    </row>
    <row r="6" spans="1:12" x14ac:dyDescent="0.25">
      <c r="A6" s="335">
        <f>A3+0.01</f>
        <v>1.02</v>
      </c>
      <c r="B6" s="326" t="s">
        <v>1358</v>
      </c>
      <c r="C6" s="304"/>
      <c r="D6" s="251"/>
      <c r="E6" s="293"/>
      <c r="F6" s="299"/>
    </row>
    <row r="7" spans="1:12" ht="57.6" customHeight="1" x14ac:dyDescent="0.25">
      <c r="A7" s="335"/>
      <c r="B7" s="303" t="s">
        <v>1381</v>
      </c>
      <c r="C7" s="304"/>
      <c r="D7" s="251" t="s">
        <v>1292</v>
      </c>
      <c r="E7" s="293">
        <f>(1450*10.76)*1.25</f>
        <v>19502.5</v>
      </c>
      <c r="F7" s="299">
        <f>E7*C7</f>
        <v>0</v>
      </c>
    </row>
    <row r="8" spans="1:12" ht="11.4" customHeight="1" x14ac:dyDescent="0.25">
      <c r="A8" s="335"/>
      <c r="B8" s="326"/>
      <c r="C8" s="304"/>
      <c r="D8" s="251"/>
      <c r="E8" s="293"/>
      <c r="F8" s="299"/>
    </row>
    <row r="9" spans="1:12" x14ac:dyDescent="0.25">
      <c r="A9" s="335">
        <f>A6+0.01</f>
        <v>1.03</v>
      </c>
      <c r="B9" s="326" t="s">
        <v>1359</v>
      </c>
      <c r="C9" s="304"/>
      <c r="D9" s="251"/>
      <c r="E9" s="293"/>
      <c r="F9" s="299"/>
    </row>
    <row r="10" spans="1:12" ht="101.4" customHeight="1" x14ac:dyDescent="0.25">
      <c r="A10" s="335"/>
      <c r="B10" s="324" t="s">
        <v>1360</v>
      </c>
      <c r="C10" s="304"/>
      <c r="D10" s="251" t="s">
        <v>1292</v>
      </c>
      <c r="E10" s="293">
        <f>(750*10.76)*1.25</f>
        <v>10087.5</v>
      </c>
      <c r="F10" s="299">
        <f>E10*C10</f>
        <v>0</v>
      </c>
    </row>
    <row r="11" spans="1:12" ht="10.199999999999999" customHeight="1" x14ac:dyDescent="0.25">
      <c r="A11" s="335"/>
      <c r="B11" s="326"/>
      <c r="C11" s="304"/>
      <c r="D11" s="251"/>
      <c r="E11" s="293"/>
      <c r="F11" s="299"/>
    </row>
    <row r="12" spans="1:12" x14ac:dyDescent="0.25">
      <c r="A12" s="335">
        <f>A9+0.01</f>
        <v>1.04</v>
      </c>
      <c r="B12" s="326" t="s">
        <v>1259</v>
      </c>
      <c r="C12" s="304"/>
      <c r="D12" s="251"/>
      <c r="E12" s="293"/>
      <c r="F12" s="299"/>
    </row>
    <row r="13" spans="1:12" ht="130.80000000000001" customHeight="1" x14ac:dyDescent="0.25">
      <c r="A13" s="335"/>
      <c r="B13" s="324" t="s">
        <v>1369</v>
      </c>
      <c r="C13" s="304"/>
      <c r="D13" s="251" t="s">
        <v>1292</v>
      </c>
      <c r="E13" s="293">
        <f>650*10.76*1.25</f>
        <v>8742.5</v>
      </c>
      <c r="F13" s="299">
        <f>E13*C13</f>
        <v>0</v>
      </c>
      <c r="H13" s="24">
        <f>50000/9.29</f>
        <v>5382.1313240043064</v>
      </c>
    </row>
    <row r="14" spans="1:12" ht="7.2" customHeight="1" x14ac:dyDescent="0.25">
      <c r="A14" s="335"/>
      <c r="B14" s="324"/>
      <c r="C14" s="304"/>
      <c r="D14" s="251"/>
      <c r="E14" s="293"/>
      <c r="F14" s="299"/>
    </row>
    <row r="15" spans="1:12" x14ac:dyDescent="0.25">
      <c r="A15" s="335">
        <f>A12+0.01</f>
        <v>1.05</v>
      </c>
      <c r="B15" s="806" t="s">
        <v>1364</v>
      </c>
      <c r="C15" s="304"/>
      <c r="D15" s="251"/>
      <c r="E15" s="293"/>
      <c r="F15" s="299"/>
    </row>
    <row r="16" spans="1:12" ht="69" x14ac:dyDescent="0.25">
      <c r="A16" s="335"/>
      <c r="B16" s="324" t="s">
        <v>1365</v>
      </c>
      <c r="C16" s="304"/>
      <c r="D16" s="251" t="s">
        <v>1293</v>
      </c>
      <c r="E16" s="293">
        <f>1020*3.28</f>
        <v>3345.6</v>
      </c>
      <c r="F16" s="299">
        <f>E16*C16</f>
        <v>0</v>
      </c>
    </row>
    <row r="17" spans="1:13" ht="12" customHeight="1" x14ac:dyDescent="0.25">
      <c r="A17" s="335"/>
      <c r="B17" s="324"/>
      <c r="C17" s="304"/>
      <c r="D17" s="251"/>
      <c r="E17" s="293"/>
      <c r="F17" s="299"/>
    </row>
    <row r="18" spans="1:13" x14ac:dyDescent="0.25">
      <c r="A18" s="335">
        <f>A15+0.01</f>
        <v>1.06</v>
      </c>
      <c r="B18" s="806" t="s">
        <v>1367</v>
      </c>
      <c r="C18" s="304"/>
      <c r="D18" s="251"/>
      <c r="E18" s="293"/>
      <c r="F18" s="299"/>
    </row>
    <row r="19" spans="1:13" ht="46.2" customHeight="1" x14ac:dyDescent="0.25">
      <c r="A19" s="335"/>
      <c r="B19" s="324" t="s">
        <v>1366</v>
      </c>
      <c r="C19" s="304"/>
      <c r="D19" s="251" t="s">
        <v>1293</v>
      </c>
      <c r="E19" s="293">
        <f>1800</f>
        <v>1800</v>
      </c>
      <c r="F19" s="299">
        <f>E19*C19</f>
        <v>0</v>
      </c>
    </row>
    <row r="20" spans="1:13" ht="10.199999999999999" customHeight="1" x14ac:dyDescent="0.25">
      <c r="A20" s="335"/>
      <c r="B20" s="324"/>
      <c r="C20" s="304"/>
      <c r="D20" s="251"/>
      <c r="E20" s="293"/>
      <c r="F20" s="299"/>
    </row>
    <row r="21" spans="1:13" x14ac:dyDescent="0.25">
      <c r="A21" s="335">
        <f>A18+0.01</f>
        <v>1.07</v>
      </c>
      <c r="B21" s="806" t="s">
        <v>1379</v>
      </c>
      <c r="C21" s="304"/>
      <c r="D21" s="251"/>
      <c r="E21" s="293"/>
      <c r="F21" s="299"/>
    </row>
    <row r="22" spans="1:13" ht="57" customHeight="1" x14ac:dyDescent="0.25">
      <c r="A22" s="335"/>
      <c r="B22" s="324" t="s">
        <v>1387</v>
      </c>
      <c r="C22" s="304"/>
      <c r="D22" s="251" t="s">
        <v>13</v>
      </c>
      <c r="E22" s="293">
        <v>250000</v>
      </c>
      <c r="F22" s="299">
        <f>E22*C22</f>
        <v>0</v>
      </c>
    </row>
    <row r="23" spans="1:13" ht="11.4" customHeight="1" x14ac:dyDescent="0.25">
      <c r="A23" s="335"/>
      <c r="B23" s="324"/>
      <c r="C23" s="304"/>
      <c r="D23" s="251"/>
      <c r="E23" s="293"/>
      <c r="F23" s="299"/>
    </row>
    <row r="24" spans="1:13" x14ac:dyDescent="0.25">
      <c r="A24" s="335">
        <f>A21+0.01</f>
        <v>1.08</v>
      </c>
      <c r="B24" s="806" t="s">
        <v>1380</v>
      </c>
      <c r="C24" s="304"/>
      <c r="D24" s="251"/>
      <c r="E24" s="293"/>
      <c r="F24" s="299"/>
    </row>
    <row r="25" spans="1:13" ht="27.6" x14ac:dyDescent="0.25">
      <c r="A25" s="335"/>
      <c r="B25" s="724" t="s">
        <v>1388</v>
      </c>
      <c r="C25" s="304"/>
      <c r="D25" s="251" t="s">
        <v>13</v>
      </c>
      <c r="E25" s="293">
        <v>80000</v>
      </c>
      <c r="F25" s="299">
        <f>E25*C25</f>
        <v>0</v>
      </c>
    </row>
    <row r="26" spans="1:13" ht="10.8" customHeight="1" x14ac:dyDescent="0.25">
      <c r="A26" s="335"/>
      <c r="B26" s="724"/>
      <c r="C26" s="304"/>
      <c r="D26" s="251"/>
      <c r="E26" s="293"/>
      <c r="F26" s="299"/>
    </row>
    <row r="27" spans="1:13" s="659" customFormat="1" ht="31.8" customHeight="1" x14ac:dyDescent="0.25">
      <c r="A27" s="927"/>
      <c r="B27" s="818" t="s">
        <v>810</v>
      </c>
      <c r="C27" s="819"/>
      <c r="D27" s="820"/>
      <c r="E27" s="821"/>
      <c r="F27" s="822">
        <f>SUM(F3:F25)</f>
        <v>0</v>
      </c>
    </row>
    <row r="29" spans="1:13" x14ac:dyDescent="0.25">
      <c r="L29" s="24" t="e">
        <f>#REF!*1.1</f>
        <v>#REF!</v>
      </c>
      <c r="M29" s="24">
        <v>165000</v>
      </c>
    </row>
    <row r="32" spans="1:13" x14ac:dyDescent="0.25">
      <c r="B32" s="36" t="s">
        <v>1116</v>
      </c>
      <c r="E32" s="202" t="e">
        <f>#REF!*0.1</f>
        <v>#REF!</v>
      </c>
      <c r="F32" s="39">
        <f>52256/2.83</f>
        <v>18465.017667844524</v>
      </c>
      <c r="G32" s="24" t="e">
        <f>F32*E32</f>
        <v>#REF!</v>
      </c>
    </row>
    <row r="33" spans="2:13" x14ac:dyDescent="0.25">
      <c r="B33" s="36" t="s">
        <v>1117</v>
      </c>
      <c r="E33" s="202" t="e">
        <f>#REF!/2</f>
        <v>#REF!</v>
      </c>
      <c r="F33" s="39">
        <f>19579/9.29</f>
        <v>2107.5349838536063</v>
      </c>
      <c r="G33" s="24" t="e">
        <f>F33*E33</f>
        <v>#REF!</v>
      </c>
    </row>
    <row r="34" spans="2:13" x14ac:dyDescent="0.25">
      <c r="B34" s="36" t="s">
        <v>1118</v>
      </c>
      <c r="E34" s="202" t="e">
        <f>E32*65</f>
        <v>#REF!</v>
      </c>
      <c r="F34" s="39">
        <v>280</v>
      </c>
      <c r="G34" s="24" t="e">
        <f>F34*E34</f>
        <v>#REF!</v>
      </c>
      <c r="M34" s="24">
        <f>SUM(M28:M33)</f>
        <v>165000</v>
      </c>
    </row>
    <row r="36" spans="2:13" x14ac:dyDescent="0.25">
      <c r="G36" s="24" t="e">
        <f>SUM(G32:G35)</f>
        <v>#REF!</v>
      </c>
      <c r="H36" s="24" t="e">
        <f>G36/#REF!</f>
        <v>#REF!</v>
      </c>
    </row>
    <row r="38" spans="2:13" x14ac:dyDescent="0.25">
      <c r="M38" s="24">
        <f>M34*1.1</f>
        <v>181500.00000000003</v>
      </c>
    </row>
  </sheetData>
  <pageMargins left="0.5" right="0.5" top="0.25" bottom="0.25" header="0.5" footer="0.5"/>
  <pageSetup orientation="portrait" r:id="rId1"/>
  <headerFooter alignWithMargins="0">
    <oddFooter>&amp;C&amp;P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O248"/>
  <sheetViews>
    <sheetView view="pageBreakPreview" topLeftCell="A228" zoomScale="95" zoomScaleNormal="85" zoomScaleSheetLayoutView="95" workbookViewId="0">
      <selection activeCell="J234" sqref="J234"/>
    </sheetView>
  </sheetViews>
  <sheetFormatPr defaultColWidth="9.21875" defaultRowHeight="13.8" x14ac:dyDescent="0.25"/>
  <cols>
    <col min="1" max="1" width="6.44140625" style="653" customWidth="1"/>
    <col min="2" max="2" width="51.5546875" style="36" customWidth="1"/>
    <col min="3" max="3" width="6.77734375" style="579" bestFit="1" customWidth="1"/>
    <col min="4" max="4" width="6.109375" style="579" customWidth="1"/>
    <col min="5" max="5" width="13.33203125" style="580" bestFit="1" customWidth="1"/>
    <col min="6" max="6" width="11.88671875" style="579" bestFit="1" customWidth="1"/>
    <col min="7" max="7" width="9.21875" style="24"/>
    <col min="8" max="8" width="12.44140625" style="24" bestFit="1" customWidth="1"/>
    <col min="9" max="9" width="10" style="24" bestFit="1" customWidth="1"/>
    <col min="10" max="10" width="11" style="24" bestFit="1" customWidth="1"/>
    <col min="11" max="12" width="12.88671875" style="24" bestFit="1" customWidth="1"/>
    <col min="13" max="13" width="11.88671875" style="24" bestFit="1" customWidth="1"/>
    <col min="14" max="14" width="9.21875" style="24"/>
    <col min="15" max="15" width="10.44140625" style="24" bestFit="1" customWidth="1"/>
    <col min="16" max="16384" width="9.21875" style="24"/>
  </cols>
  <sheetData>
    <row r="1" spans="1:6" s="652" customFormat="1" ht="14.4" thickBot="1" x14ac:dyDescent="0.3">
      <c r="A1" s="642" t="s">
        <v>0</v>
      </c>
      <c r="B1" s="643" t="s">
        <v>1</v>
      </c>
      <c r="C1" s="644" t="s">
        <v>2</v>
      </c>
      <c r="D1" s="645" t="s">
        <v>3</v>
      </c>
      <c r="E1" s="646" t="s">
        <v>4</v>
      </c>
      <c r="F1" s="647" t="s">
        <v>5</v>
      </c>
    </row>
    <row r="2" spans="1:6" x14ac:dyDescent="0.25">
      <c r="A2" s="648"/>
      <c r="B2" s="637" t="s">
        <v>778</v>
      </c>
      <c r="C2" s="638"/>
      <c r="D2" s="639"/>
      <c r="E2" s="640"/>
      <c r="F2" s="649"/>
    </row>
    <row r="3" spans="1:6" x14ac:dyDescent="0.25">
      <c r="A3" s="226"/>
      <c r="B3" s="745"/>
      <c r="C3" s="700"/>
      <c r="D3" s="701"/>
      <c r="E3" s="702"/>
      <c r="F3" s="701"/>
    </row>
    <row r="4" spans="1:6" x14ac:dyDescent="0.25">
      <c r="A4" s="226"/>
      <c r="B4" s="326" t="s">
        <v>1068</v>
      </c>
      <c r="C4" s="700"/>
      <c r="D4" s="701"/>
      <c r="E4" s="702"/>
      <c r="F4" s="701"/>
    </row>
    <row r="5" spans="1:6" x14ac:dyDescent="0.25">
      <c r="A5" s="226"/>
      <c r="B5" s="326"/>
      <c r="C5" s="700"/>
      <c r="D5" s="701"/>
      <c r="E5" s="702"/>
      <c r="F5" s="701"/>
    </row>
    <row r="6" spans="1:6" x14ac:dyDescent="0.25">
      <c r="A6" s="335">
        <v>1</v>
      </c>
      <c r="B6" s="326" t="s">
        <v>81</v>
      </c>
      <c r="C6" s="700"/>
      <c r="D6" s="701"/>
      <c r="E6" s="702"/>
      <c r="F6" s="701"/>
    </row>
    <row r="7" spans="1:6" ht="34.200000000000003" customHeight="1" x14ac:dyDescent="0.25">
      <c r="A7" s="226">
        <f>A6+0.01</f>
        <v>1.01</v>
      </c>
      <c r="B7" s="303" t="s">
        <v>749</v>
      </c>
      <c r="C7" s="700" t="e">
        <f>'m shet Miss premila'!#REF!</f>
        <v>#REF!</v>
      </c>
      <c r="D7" s="701" t="s">
        <v>129</v>
      </c>
      <c r="E7" s="702">
        <v>585</v>
      </c>
      <c r="F7" s="701" t="e">
        <f>+C7*E7</f>
        <v>#REF!</v>
      </c>
    </row>
    <row r="8" spans="1:6" x14ac:dyDescent="0.25">
      <c r="A8" s="226"/>
      <c r="B8" s="303"/>
      <c r="C8" s="700"/>
      <c r="D8" s="701"/>
      <c r="E8" s="702"/>
      <c r="F8" s="701"/>
    </row>
    <row r="9" spans="1:6" ht="31.8" customHeight="1" x14ac:dyDescent="0.25">
      <c r="A9" s="226">
        <f>A7+0.01</f>
        <v>1.02</v>
      </c>
      <c r="B9" s="303" t="s">
        <v>750</v>
      </c>
      <c r="C9" s="700" t="e">
        <f>C7</f>
        <v>#REF!</v>
      </c>
      <c r="D9" s="701" t="s">
        <v>129</v>
      </c>
      <c r="E9" s="702">
        <v>322</v>
      </c>
      <c r="F9" s="701" t="e">
        <f>+C9*E9</f>
        <v>#REF!</v>
      </c>
    </row>
    <row r="10" spans="1:6" x14ac:dyDescent="0.25">
      <c r="A10" s="226"/>
      <c r="B10" s="303"/>
      <c r="C10" s="700"/>
      <c r="D10" s="701"/>
      <c r="E10" s="702"/>
      <c r="F10" s="701"/>
    </row>
    <row r="11" spans="1:6" ht="59.4" customHeight="1" x14ac:dyDescent="0.25">
      <c r="A11" s="226">
        <f>A9+0.01</f>
        <v>1.03</v>
      </c>
      <c r="B11" s="303" t="s">
        <v>130</v>
      </c>
      <c r="C11" s="700" t="e">
        <f>'m shet Miss premila'!#REF!</f>
        <v>#REF!</v>
      </c>
      <c r="D11" s="701" t="s">
        <v>131</v>
      </c>
      <c r="E11" s="702">
        <v>3261</v>
      </c>
      <c r="F11" s="701" t="e">
        <f>+C11*E11</f>
        <v>#REF!</v>
      </c>
    </row>
    <row r="12" spans="1:6" x14ac:dyDescent="0.25">
      <c r="A12" s="226"/>
      <c r="B12" s="303"/>
      <c r="C12" s="700"/>
      <c r="D12" s="701"/>
      <c r="E12" s="702"/>
      <c r="F12" s="701"/>
    </row>
    <row r="13" spans="1:6" x14ac:dyDescent="0.25">
      <c r="A13" s="335">
        <v>2</v>
      </c>
      <c r="B13" s="326" t="s">
        <v>142</v>
      </c>
      <c r="C13" s="700"/>
      <c r="D13" s="701"/>
      <c r="E13" s="702"/>
      <c r="F13" s="701"/>
    </row>
    <row r="14" spans="1:6" ht="76.2" customHeight="1" x14ac:dyDescent="0.25">
      <c r="A14" s="226">
        <f>A13+0.01</f>
        <v>2.0099999999999998</v>
      </c>
      <c r="B14" s="303" t="s">
        <v>1070</v>
      </c>
      <c r="C14" s="700" t="e">
        <f>'m shet Miss premila'!#REF!</f>
        <v>#REF!</v>
      </c>
      <c r="D14" s="701" t="s">
        <v>1069</v>
      </c>
      <c r="E14" s="702">
        <v>3490</v>
      </c>
      <c r="F14" s="701" t="e">
        <f>+C14*E14</f>
        <v>#REF!</v>
      </c>
    </row>
    <row r="15" spans="1:6" x14ac:dyDescent="0.25">
      <c r="A15" s="226"/>
      <c r="B15" s="303"/>
      <c r="C15" s="700"/>
      <c r="D15" s="701"/>
      <c r="E15" s="702"/>
      <c r="F15" s="701"/>
    </row>
    <row r="16" spans="1:6" ht="15.6" x14ac:dyDescent="0.25">
      <c r="A16" s="335">
        <v>3</v>
      </c>
      <c r="B16" s="311" t="s">
        <v>158</v>
      </c>
      <c r="C16" s="823"/>
      <c r="D16" s="701"/>
      <c r="E16" s="702"/>
      <c r="F16" s="701"/>
    </row>
    <row r="17" spans="1:13" ht="99" customHeight="1" x14ac:dyDescent="0.25">
      <c r="A17" s="226">
        <f>A16+0.01</f>
        <v>3.01</v>
      </c>
      <c r="B17" s="303" t="s">
        <v>159</v>
      </c>
      <c r="C17" s="700">
        <v>2.2000000000000002</v>
      </c>
      <c r="D17" s="701" t="s">
        <v>129</v>
      </c>
      <c r="E17" s="702">
        <f>26*100</f>
        <v>2600</v>
      </c>
      <c r="F17" s="701">
        <f>+C17*E17</f>
        <v>5720.0000000000009</v>
      </c>
    </row>
    <row r="18" spans="1:13" x14ac:dyDescent="0.25">
      <c r="A18" s="226"/>
      <c r="B18" s="303"/>
      <c r="C18" s="700"/>
      <c r="D18" s="701"/>
      <c r="E18" s="702"/>
      <c r="F18" s="701"/>
    </row>
    <row r="19" spans="1:13" x14ac:dyDescent="0.25">
      <c r="A19" s="335">
        <v>4</v>
      </c>
      <c r="B19" s="326" t="s">
        <v>571</v>
      </c>
      <c r="C19" s="700"/>
      <c r="D19" s="701"/>
      <c r="E19" s="702"/>
      <c r="F19" s="701"/>
    </row>
    <row r="20" spans="1:13" x14ac:dyDescent="0.25">
      <c r="A20" s="226">
        <v>4.01</v>
      </c>
      <c r="B20" s="745" t="s">
        <v>1071</v>
      </c>
      <c r="C20" s="700"/>
      <c r="D20" s="701"/>
      <c r="E20" s="702"/>
      <c r="F20" s="701"/>
    </row>
    <row r="21" spans="1:13" ht="55.2" x14ac:dyDescent="0.25">
      <c r="A21" s="226" t="s">
        <v>1072</v>
      </c>
      <c r="B21" s="303" t="s">
        <v>787</v>
      </c>
      <c r="C21" s="700">
        <v>0.1</v>
      </c>
      <c r="D21" s="701" t="s">
        <v>129</v>
      </c>
      <c r="E21" s="702">
        <v>7535</v>
      </c>
      <c r="F21" s="701">
        <f>+C21*E21</f>
        <v>753.5</v>
      </c>
    </row>
    <row r="22" spans="1:13" x14ac:dyDescent="0.25">
      <c r="A22" s="226"/>
      <c r="B22" s="303"/>
      <c r="C22" s="700"/>
      <c r="D22" s="701"/>
      <c r="E22" s="702"/>
      <c r="F22" s="701"/>
    </row>
    <row r="23" spans="1:13" x14ac:dyDescent="0.25">
      <c r="A23" s="335">
        <f>A20+0.01</f>
        <v>4.0199999999999996</v>
      </c>
      <c r="B23" s="326" t="s">
        <v>166</v>
      </c>
      <c r="C23" s="700"/>
      <c r="D23" s="701"/>
      <c r="E23" s="702"/>
      <c r="F23" s="701"/>
    </row>
    <row r="24" spans="1:13" ht="55.2" x14ac:dyDescent="0.25">
      <c r="A24" s="226" t="s">
        <v>1073</v>
      </c>
      <c r="B24" s="307" t="s">
        <v>1075</v>
      </c>
      <c r="C24" s="824"/>
      <c r="D24" s="701"/>
      <c r="E24" s="702"/>
      <c r="F24" s="701"/>
    </row>
    <row r="25" spans="1:13" x14ac:dyDescent="0.25">
      <c r="A25" s="226"/>
      <c r="B25" s="307" t="s">
        <v>108</v>
      </c>
      <c r="C25" s="700">
        <v>0.05</v>
      </c>
      <c r="D25" s="701" t="s">
        <v>131</v>
      </c>
      <c r="E25" s="702">
        <v>54969</v>
      </c>
      <c r="F25" s="701">
        <f>C25*E25</f>
        <v>2748.4500000000003</v>
      </c>
    </row>
    <row r="26" spans="1:13" x14ac:dyDescent="0.25">
      <c r="A26" s="226"/>
      <c r="B26" s="307" t="s">
        <v>98</v>
      </c>
      <c r="C26" s="700">
        <v>0.05</v>
      </c>
      <c r="D26" s="701" t="s">
        <v>131</v>
      </c>
      <c r="E26" s="702">
        <v>54969</v>
      </c>
      <c r="F26" s="701">
        <f>C26*E26</f>
        <v>2748.4500000000003</v>
      </c>
      <c r="H26" s="24">
        <f>0.225*0.225*1</f>
        <v>5.0625000000000003E-2</v>
      </c>
    </row>
    <row r="27" spans="1:13" x14ac:dyDescent="0.25">
      <c r="A27" s="226"/>
      <c r="B27" s="307" t="s">
        <v>99</v>
      </c>
      <c r="C27" s="700">
        <v>0.3</v>
      </c>
      <c r="D27" s="701" t="s">
        <v>131</v>
      </c>
      <c r="E27" s="702">
        <v>54969</v>
      </c>
      <c r="F27" s="701">
        <f>C27*E27</f>
        <v>16490.7</v>
      </c>
    </row>
    <row r="28" spans="1:13" x14ac:dyDescent="0.25">
      <c r="A28" s="226"/>
      <c r="B28" s="303"/>
      <c r="C28" s="700"/>
      <c r="D28" s="701"/>
      <c r="E28" s="702"/>
      <c r="F28" s="701"/>
    </row>
    <row r="29" spans="1:13" ht="69" x14ac:dyDescent="0.25">
      <c r="A29" s="226" t="s">
        <v>1074</v>
      </c>
      <c r="B29" s="324" t="s">
        <v>747</v>
      </c>
      <c r="C29" s="700"/>
      <c r="D29" s="701"/>
      <c r="E29" s="702"/>
      <c r="F29" s="701"/>
      <c r="L29" s="24">
        <f>23*0.075</f>
        <v>1.7249999999999999</v>
      </c>
      <c r="M29" s="24">
        <f>L29/2.83</f>
        <v>0.60954063604240272</v>
      </c>
    </row>
    <row r="30" spans="1:13" x14ac:dyDescent="0.25">
      <c r="A30" s="226"/>
      <c r="B30" s="825" t="s">
        <v>1149</v>
      </c>
      <c r="C30" s="700">
        <v>0.5</v>
      </c>
      <c r="D30" s="701" t="s">
        <v>131</v>
      </c>
      <c r="E30" s="702">
        <v>52256</v>
      </c>
      <c r="F30" s="701">
        <f t="shared" ref="F30" si="0">+C30*E30</f>
        <v>26128</v>
      </c>
    </row>
    <row r="31" spans="1:13" x14ac:dyDescent="0.25">
      <c r="A31" s="708"/>
      <c r="B31" s="709"/>
      <c r="C31" s="782"/>
      <c r="D31" s="726"/>
      <c r="E31" s="776"/>
      <c r="F31" s="726"/>
    </row>
    <row r="32" spans="1:13" ht="69" x14ac:dyDescent="0.25">
      <c r="A32" s="714" t="s">
        <v>1078</v>
      </c>
      <c r="B32" s="827" t="s">
        <v>1076</v>
      </c>
      <c r="C32" s="811"/>
      <c r="D32" s="629"/>
      <c r="E32" s="778"/>
      <c r="F32" s="629"/>
      <c r="J32" s="24">
        <f>0.225*0.225*3</f>
        <v>0.15187500000000001</v>
      </c>
    </row>
    <row r="33" spans="1:12" x14ac:dyDescent="0.25">
      <c r="A33" s="226"/>
      <c r="B33" s="324" t="s">
        <v>1077</v>
      </c>
      <c r="C33" s="700">
        <v>0.1</v>
      </c>
      <c r="D33" s="701" t="s">
        <v>131</v>
      </c>
      <c r="E33" s="702">
        <v>54969</v>
      </c>
      <c r="F33" s="701">
        <f>C33*E33</f>
        <v>5496.9000000000005</v>
      </c>
      <c r="H33" s="24">
        <f>0.225*0.225*3</f>
        <v>0.15187500000000001</v>
      </c>
      <c r="I33" s="24">
        <f>H33*6</f>
        <v>0.91125000000000012</v>
      </c>
    </row>
    <row r="34" spans="1:12" x14ac:dyDescent="0.25">
      <c r="A34" s="226"/>
      <c r="B34" s="303"/>
      <c r="C34" s="700"/>
      <c r="D34" s="701"/>
      <c r="E34" s="702"/>
      <c r="F34" s="701"/>
    </row>
    <row r="35" spans="1:12" x14ac:dyDescent="0.25">
      <c r="A35" s="226">
        <v>4.03</v>
      </c>
      <c r="B35" s="326" t="s">
        <v>1065</v>
      </c>
      <c r="C35" s="700"/>
      <c r="D35" s="701"/>
      <c r="E35" s="702"/>
      <c r="F35" s="701"/>
    </row>
    <row r="36" spans="1:12" ht="64.8" customHeight="1" x14ac:dyDescent="0.25">
      <c r="A36" s="226"/>
      <c r="B36" s="303" t="s">
        <v>1066</v>
      </c>
      <c r="C36" s="700">
        <v>50</v>
      </c>
      <c r="D36" s="701" t="s">
        <v>1064</v>
      </c>
      <c r="E36" s="702">
        <v>427</v>
      </c>
      <c r="F36" s="701">
        <f>E36*C36</f>
        <v>21350</v>
      </c>
    </row>
    <row r="37" spans="1:12" x14ac:dyDescent="0.25">
      <c r="A37" s="226"/>
      <c r="B37" s="303"/>
      <c r="C37" s="700"/>
      <c r="D37" s="701"/>
      <c r="E37" s="702"/>
      <c r="F37" s="701"/>
    </row>
    <row r="38" spans="1:12" x14ac:dyDescent="0.25">
      <c r="A38" s="335">
        <v>5</v>
      </c>
      <c r="B38" s="326" t="s">
        <v>572</v>
      </c>
      <c r="C38" s="700"/>
      <c r="D38" s="701"/>
      <c r="E38" s="702"/>
      <c r="F38" s="701"/>
    </row>
    <row r="39" spans="1:12" x14ac:dyDescent="0.25">
      <c r="A39" s="226"/>
      <c r="B39" s="309" t="s">
        <v>348</v>
      </c>
      <c r="C39" s="700"/>
      <c r="D39" s="701"/>
      <c r="E39" s="702"/>
      <c r="F39" s="701"/>
    </row>
    <row r="40" spans="1:12" ht="34.200000000000003" customHeight="1" x14ac:dyDescent="0.25">
      <c r="A40" s="226">
        <f>A38+0.01</f>
        <v>5.01</v>
      </c>
      <c r="B40" s="303" t="s">
        <v>746</v>
      </c>
      <c r="C40" s="700"/>
      <c r="D40" s="701"/>
      <c r="E40" s="702"/>
      <c r="F40" s="701"/>
      <c r="I40" s="24">
        <f>2.4*0.2</f>
        <v>0.48</v>
      </c>
      <c r="J40" s="24">
        <f>I40/9.29</f>
        <v>5.1668460710441337E-2</v>
      </c>
    </row>
    <row r="41" spans="1:12" x14ac:dyDescent="0.25">
      <c r="A41" s="226"/>
      <c r="B41" s="303" t="s">
        <v>1089</v>
      </c>
      <c r="C41" s="700">
        <v>0.1</v>
      </c>
      <c r="D41" s="701" t="s">
        <v>129</v>
      </c>
      <c r="E41" s="702">
        <v>11200</v>
      </c>
      <c r="F41" s="701">
        <f>E41*C41</f>
        <v>1120</v>
      </c>
    </row>
    <row r="42" spans="1:12" x14ac:dyDescent="0.25">
      <c r="A42" s="226"/>
      <c r="B42" s="303"/>
      <c r="C42" s="700"/>
      <c r="D42" s="701"/>
      <c r="E42" s="702"/>
      <c r="F42" s="701"/>
    </row>
    <row r="43" spans="1:12" ht="34.200000000000003" customHeight="1" x14ac:dyDescent="0.25">
      <c r="A43" s="226">
        <f>A40+0.01</f>
        <v>5.0199999999999996</v>
      </c>
      <c r="B43" s="303" t="s">
        <v>185</v>
      </c>
      <c r="C43" s="700" t="e">
        <f>'m shet Miss premila'!#REF!</f>
        <v>#REF!</v>
      </c>
      <c r="D43" s="701" t="s">
        <v>129</v>
      </c>
      <c r="E43" s="702">
        <v>11813</v>
      </c>
      <c r="F43" s="701" t="e">
        <f>E43*C43</f>
        <v>#REF!</v>
      </c>
      <c r="K43" s="24">
        <f>0.225*3</f>
        <v>0.67500000000000004</v>
      </c>
      <c r="L43" s="24">
        <f>K43*4</f>
        <v>2.7</v>
      </c>
    </row>
    <row r="44" spans="1:12" x14ac:dyDescent="0.25">
      <c r="A44" s="226"/>
      <c r="B44" s="303"/>
      <c r="C44" s="700"/>
      <c r="D44" s="701"/>
      <c r="E44" s="702"/>
      <c r="F44" s="701"/>
    </row>
    <row r="45" spans="1:12" ht="34.799999999999997" customHeight="1" x14ac:dyDescent="0.25">
      <c r="A45" s="226">
        <f>A43+0.01</f>
        <v>5.0299999999999994</v>
      </c>
      <c r="B45" s="303" t="s">
        <v>132</v>
      </c>
      <c r="C45" s="700"/>
      <c r="D45" s="701"/>
      <c r="E45" s="702"/>
      <c r="F45" s="701"/>
      <c r="L45" s="24">
        <f>L43/9.29</f>
        <v>0.29063509149623257</v>
      </c>
    </row>
    <row r="46" spans="1:12" x14ac:dyDescent="0.25">
      <c r="A46" s="226"/>
      <c r="B46" s="303" t="s">
        <v>1090</v>
      </c>
      <c r="C46" s="700">
        <v>0.2</v>
      </c>
      <c r="D46" s="701" t="s">
        <v>129</v>
      </c>
      <c r="E46" s="702">
        <v>19579</v>
      </c>
      <c r="F46" s="701">
        <f>E46*C46</f>
        <v>3915.8</v>
      </c>
    </row>
    <row r="47" spans="1:12" x14ac:dyDescent="0.25">
      <c r="A47" s="226"/>
      <c r="B47" s="303"/>
      <c r="C47" s="700"/>
      <c r="D47" s="701"/>
      <c r="E47" s="702"/>
      <c r="F47" s="701"/>
    </row>
    <row r="48" spans="1:12" x14ac:dyDescent="0.25">
      <c r="A48" s="335">
        <v>6</v>
      </c>
      <c r="B48" s="326" t="s">
        <v>573</v>
      </c>
      <c r="C48" s="700"/>
      <c r="D48" s="701"/>
      <c r="E48" s="702"/>
      <c r="F48" s="701"/>
    </row>
    <row r="49" spans="1:6" ht="48" customHeight="1" x14ac:dyDescent="0.25">
      <c r="A49" s="226">
        <f>A48+0.01</f>
        <v>6.01</v>
      </c>
      <c r="B49" s="303" t="s">
        <v>353</v>
      </c>
      <c r="C49" s="700"/>
      <c r="D49" s="701"/>
      <c r="E49" s="702"/>
      <c r="F49" s="701"/>
    </row>
    <row r="50" spans="1:6" x14ac:dyDescent="0.25">
      <c r="A50" s="226"/>
      <c r="B50" s="303" t="s">
        <v>108</v>
      </c>
      <c r="C50" s="700" t="e">
        <f>'m shet Miss premila'!#REF!/5</f>
        <v>#REF!</v>
      </c>
      <c r="D50" s="701" t="s">
        <v>134</v>
      </c>
      <c r="E50" s="702">
        <v>285</v>
      </c>
      <c r="F50" s="701" t="e">
        <f>E50*C50</f>
        <v>#REF!</v>
      </c>
    </row>
    <row r="51" spans="1:6" x14ac:dyDescent="0.25">
      <c r="A51" s="226"/>
      <c r="B51" s="303" t="s">
        <v>98</v>
      </c>
      <c r="C51" s="700" t="e">
        <f>'m shet Miss premila'!#REF!/5</f>
        <v>#REF!</v>
      </c>
      <c r="D51" s="701" t="s">
        <v>134</v>
      </c>
      <c r="E51" s="702">
        <v>285</v>
      </c>
      <c r="F51" s="701" t="e">
        <f t="shared" ref="F51:F52" si="1">E51*C51</f>
        <v>#REF!</v>
      </c>
    </row>
    <row r="52" spans="1:6" x14ac:dyDescent="0.25">
      <c r="A52" s="226"/>
      <c r="B52" s="303" t="s">
        <v>99</v>
      </c>
      <c r="C52" s="700" t="e">
        <f>'m shet Miss premila'!#REF!</f>
        <v>#REF!</v>
      </c>
      <c r="D52" s="701" t="s">
        <v>134</v>
      </c>
      <c r="E52" s="702">
        <v>285</v>
      </c>
      <c r="F52" s="701" t="e">
        <f t="shared" si="1"/>
        <v>#REF!</v>
      </c>
    </row>
    <row r="53" spans="1:6" x14ac:dyDescent="0.25">
      <c r="A53" s="226"/>
      <c r="B53" s="303"/>
      <c r="C53" s="700"/>
      <c r="D53" s="701"/>
      <c r="E53" s="702"/>
      <c r="F53" s="701"/>
    </row>
    <row r="54" spans="1:6" ht="49.2" customHeight="1" x14ac:dyDescent="0.25">
      <c r="A54" s="226">
        <f>A49+0.01</f>
        <v>6.02</v>
      </c>
      <c r="B54" s="303" t="s">
        <v>135</v>
      </c>
      <c r="C54" s="700"/>
      <c r="D54" s="701"/>
      <c r="E54" s="702"/>
      <c r="F54" s="701"/>
    </row>
    <row r="55" spans="1:6" x14ac:dyDescent="0.25">
      <c r="A55" s="226"/>
      <c r="B55" s="303" t="s">
        <v>98</v>
      </c>
      <c r="C55" s="700">
        <v>25</v>
      </c>
      <c r="D55" s="701" t="s">
        <v>134</v>
      </c>
      <c r="E55" s="702">
        <v>285</v>
      </c>
      <c r="F55" s="701">
        <f>E55*C55</f>
        <v>7125</v>
      </c>
    </row>
    <row r="56" spans="1:6" x14ac:dyDescent="0.25">
      <c r="A56" s="226"/>
      <c r="B56" s="303"/>
      <c r="C56" s="700"/>
      <c r="D56" s="701"/>
      <c r="E56" s="702"/>
      <c r="F56" s="701"/>
    </row>
    <row r="57" spans="1:6" x14ac:dyDescent="0.25">
      <c r="A57" s="226"/>
      <c r="B57" s="303"/>
      <c r="C57" s="700"/>
      <c r="D57" s="701"/>
      <c r="E57" s="702"/>
      <c r="F57" s="701"/>
    </row>
    <row r="58" spans="1:6" x14ac:dyDescent="0.25">
      <c r="A58" s="335">
        <v>7</v>
      </c>
      <c r="B58" s="326" t="s">
        <v>1079</v>
      </c>
      <c r="C58" s="700"/>
      <c r="D58" s="701"/>
      <c r="E58" s="702"/>
      <c r="F58" s="701"/>
    </row>
    <row r="59" spans="1:6" ht="15.6" x14ac:dyDescent="0.25">
      <c r="A59" s="226"/>
      <c r="B59" s="302" t="s">
        <v>575</v>
      </c>
      <c r="C59" s="823"/>
      <c r="D59" s="701"/>
      <c r="E59" s="702"/>
      <c r="F59" s="701"/>
    </row>
    <row r="60" spans="1:6" ht="15.6" x14ac:dyDescent="0.25">
      <c r="A60" s="226"/>
      <c r="B60" s="311"/>
      <c r="C60" s="823"/>
      <c r="D60" s="701"/>
      <c r="E60" s="702"/>
      <c r="F60" s="701"/>
    </row>
    <row r="61" spans="1:6" ht="15.6" x14ac:dyDescent="0.25">
      <c r="A61" s="226"/>
      <c r="B61" s="311" t="s">
        <v>713</v>
      </c>
      <c r="C61" s="823"/>
      <c r="D61" s="701"/>
      <c r="E61" s="702"/>
      <c r="F61" s="701"/>
    </row>
    <row r="62" spans="1:6" ht="46.8" customHeight="1" x14ac:dyDescent="0.25">
      <c r="A62" s="226">
        <f>A58+0.01</f>
        <v>7.01</v>
      </c>
      <c r="B62" s="325" t="s">
        <v>781</v>
      </c>
      <c r="C62" s="700">
        <v>7.5</v>
      </c>
      <c r="D62" s="701" t="s">
        <v>129</v>
      </c>
      <c r="E62" s="702">
        <v>18885</v>
      </c>
      <c r="F62" s="701">
        <f t="shared" ref="F62" si="2">+C62*E62</f>
        <v>141637.5</v>
      </c>
    </row>
    <row r="63" spans="1:6" x14ac:dyDescent="0.25">
      <c r="A63" s="226"/>
      <c r="B63" s="303"/>
      <c r="C63" s="700"/>
      <c r="D63" s="701"/>
      <c r="E63" s="702"/>
      <c r="F63" s="701"/>
    </row>
    <row r="64" spans="1:6" ht="15.6" x14ac:dyDescent="0.25">
      <c r="A64" s="226"/>
      <c r="B64" s="311" t="s">
        <v>576</v>
      </c>
      <c r="C64" s="823"/>
      <c r="D64" s="701"/>
      <c r="E64" s="702"/>
      <c r="F64" s="701"/>
    </row>
    <row r="65" spans="1:8" ht="34.200000000000003" customHeight="1" x14ac:dyDescent="0.25">
      <c r="A65" s="226">
        <f>A62+0.01</f>
        <v>7.02</v>
      </c>
      <c r="B65" s="303" t="s">
        <v>782</v>
      </c>
      <c r="C65" s="700" t="e">
        <f>'m shet Miss premila'!#REF!</f>
        <v>#REF!</v>
      </c>
      <c r="D65" s="701" t="s">
        <v>131</v>
      </c>
      <c r="E65" s="702">
        <v>39789</v>
      </c>
      <c r="F65" s="701" t="e">
        <f t="shared" ref="F65" si="3">+C65*E65</f>
        <v>#REF!</v>
      </c>
    </row>
    <row r="66" spans="1:8" x14ac:dyDescent="0.25">
      <c r="A66" s="226"/>
      <c r="B66" s="303"/>
      <c r="C66" s="700"/>
      <c r="D66" s="701"/>
      <c r="E66" s="702"/>
      <c r="F66" s="701"/>
    </row>
    <row r="67" spans="1:8" x14ac:dyDescent="0.25">
      <c r="A67" s="226"/>
      <c r="B67" s="303"/>
      <c r="C67" s="700"/>
      <c r="D67" s="701"/>
      <c r="E67" s="702"/>
      <c r="F67" s="701"/>
    </row>
    <row r="68" spans="1:8" x14ac:dyDescent="0.25">
      <c r="A68" s="708"/>
      <c r="B68" s="709"/>
      <c r="C68" s="782"/>
      <c r="D68" s="726"/>
      <c r="E68" s="776"/>
      <c r="F68" s="726"/>
    </row>
    <row r="69" spans="1:8" x14ac:dyDescent="0.25">
      <c r="A69" s="812">
        <v>8</v>
      </c>
      <c r="B69" s="810" t="s">
        <v>1080</v>
      </c>
      <c r="C69" s="811"/>
      <c r="D69" s="629"/>
      <c r="E69" s="778"/>
      <c r="F69" s="629"/>
    </row>
    <row r="70" spans="1:8" ht="35.4" customHeight="1" x14ac:dyDescent="0.25">
      <c r="A70" s="226">
        <f>A69+0.01</f>
        <v>8.01</v>
      </c>
      <c r="B70" s="303" t="s">
        <v>805</v>
      </c>
      <c r="C70" s="700">
        <v>0.2</v>
      </c>
      <c r="D70" s="701" t="s">
        <v>129</v>
      </c>
      <c r="E70" s="702">
        <v>14478</v>
      </c>
      <c r="F70" s="701">
        <f t="shared" ref="F70:F72" si="4">+C70*E70</f>
        <v>2895.6000000000004</v>
      </c>
    </row>
    <row r="71" spans="1:8" x14ac:dyDescent="0.25">
      <c r="A71" s="226"/>
      <c r="B71" s="303"/>
      <c r="C71" s="700"/>
      <c r="D71" s="701"/>
      <c r="E71" s="702"/>
      <c r="F71" s="701"/>
    </row>
    <row r="72" spans="1:8" ht="31.8" customHeight="1" x14ac:dyDescent="0.25">
      <c r="A72" s="226">
        <f>A70+0.01</f>
        <v>8.02</v>
      </c>
      <c r="B72" s="303" t="s">
        <v>806</v>
      </c>
      <c r="C72" s="700">
        <v>0.25</v>
      </c>
      <c r="D72" s="701" t="s">
        <v>129</v>
      </c>
      <c r="E72" s="702">
        <v>388</v>
      </c>
      <c r="F72" s="701">
        <f t="shared" si="4"/>
        <v>97</v>
      </c>
      <c r="H72" s="24">
        <f>5*100</f>
        <v>500</v>
      </c>
    </row>
    <row r="73" spans="1:8" x14ac:dyDescent="0.25">
      <c r="A73" s="226"/>
      <c r="B73" s="303"/>
      <c r="C73" s="700"/>
      <c r="D73" s="701"/>
      <c r="E73" s="702"/>
      <c r="F73" s="701"/>
    </row>
    <row r="74" spans="1:8" x14ac:dyDescent="0.25">
      <c r="A74" s="335">
        <v>9</v>
      </c>
      <c r="B74" s="326" t="s">
        <v>1081</v>
      </c>
      <c r="C74" s="700"/>
      <c r="D74" s="701"/>
      <c r="E74" s="702"/>
      <c r="F74" s="701"/>
    </row>
    <row r="75" spans="1:8" ht="48" customHeight="1" x14ac:dyDescent="0.25">
      <c r="A75" s="226"/>
      <c r="B75" s="303" t="s">
        <v>714</v>
      </c>
      <c r="C75" s="700"/>
      <c r="D75" s="701"/>
      <c r="E75" s="702"/>
      <c r="F75" s="701"/>
    </row>
    <row r="76" spans="1:8" x14ac:dyDescent="0.25">
      <c r="A76" s="226"/>
      <c r="B76" s="303"/>
      <c r="C76" s="700"/>
      <c r="D76" s="701"/>
      <c r="E76" s="702"/>
      <c r="F76" s="701"/>
    </row>
    <row r="77" spans="1:8" ht="118.2" customHeight="1" x14ac:dyDescent="0.25">
      <c r="A77" s="226">
        <f>A74+0.01</f>
        <v>9.01</v>
      </c>
      <c r="B77" s="303" t="s">
        <v>808</v>
      </c>
      <c r="C77" s="700"/>
      <c r="D77" s="701"/>
      <c r="E77" s="701"/>
      <c r="F77" s="701"/>
    </row>
    <row r="78" spans="1:8" x14ac:dyDescent="0.25">
      <c r="A78" s="226"/>
      <c r="B78" s="303" t="s">
        <v>715</v>
      </c>
      <c r="C78" s="700">
        <v>200</v>
      </c>
      <c r="D78" s="701" t="s">
        <v>141</v>
      </c>
      <c r="E78" s="702">
        <v>125</v>
      </c>
      <c r="F78" s="701">
        <f>E78*C78</f>
        <v>25000</v>
      </c>
    </row>
    <row r="79" spans="1:8" x14ac:dyDescent="0.25">
      <c r="A79" s="226"/>
      <c r="B79" s="303"/>
      <c r="C79" s="700"/>
      <c r="D79" s="701"/>
      <c r="E79" s="702"/>
      <c r="F79" s="701"/>
    </row>
    <row r="80" spans="1:8" x14ac:dyDescent="0.25">
      <c r="A80" s="335">
        <v>10</v>
      </c>
      <c r="B80" s="326" t="s">
        <v>1082</v>
      </c>
      <c r="C80" s="700"/>
      <c r="D80" s="701"/>
      <c r="E80" s="702"/>
      <c r="F80" s="701"/>
    </row>
    <row r="81" spans="1:6" x14ac:dyDescent="0.25">
      <c r="A81" s="226"/>
      <c r="B81" s="326" t="s">
        <v>719</v>
      </c>
      <c r="C81" s="700"/>
      <c r="D81" s="701"/>
      <c r="E81" s="702"/>
      <c r="F81" s="701"/>
    </row>
    <row r="82" spans="1:6" ht="41.4" x14ac:dyDescent="0.25">
      <c r="A82" s="226">
        <f>A80+0.01</f>
        <v>10.01</v>
      </c>
      <c r="B82" s="303" t="s">
        <v>795</v>
      </c>
      <c r="C82" s="700"/>
      <c r="D82" s="701"/>
      <c r="E82" s="702"/>
      <c r="F82" s="701"/>
    </row>
    <row r="83" spans="1:6" x14ac:dyDescent="0.25">
      <c r="A83" s="226"/>
      <c r="B83" s="303" t="s">
        <v>61</v>
      </c>
      <c r="C83" s="700" t="e">
        <f>'m shet Miss premila'!#REF!</f>
        <v>#REF!</v>
      </c>
      <c r="D83" s="701" t="s">
        <v>129</v>
      </c>
      <c r="E83" s="702">
        <v>8722</v>
      </c>
      <c r="F83" s="701" t="e">
        <f>+C83*E83</f>
        <v>#REF!</v>
      </c>
    </row>
    <row r="84" spans="1:6" x14ac:dyDescent="0.25">
      <c r="A84" s="226"/>
      <c r="B84" s="303"/>
      <c r="C84" s="700"/>
      <c r="D84" s="701"/>
      <c r="E84" s="702"/>
      <c r="F84" s="701"/>
    </row>
    <row r="85" spans="1:6" x14ac:dyDescent="0.25">
      <c r="A85" s="226"/>
      <c r="B85" s="294" t="s">
        <v>721</v>
      </c>
      <c r="C85" s="700"/>
      <c r="D85" s="701"/>
      <c r="E85" s="702"/>
      <c r="F85" s="701"/>
    </row>
    <row r="86" spans="1:6" ht="55.2" x14ac:dyDescent="0.25">
      <c r="A86" s="226">
        <f>A82+0.01</f>
        <v>10.02</v>
      </c>
      <c r="B86" s="303" t="s">
        <v>796</v>
      </c>
      <c r="C86" s="700" t="e">
        <f>'m shet Miss premila'!#REF!</f>
        <v>#REF!</v>
      </c>
      <c r="D86" s="701" t="s">
        <v>167</v>
      </c>
      <c r="E86" s="702">
        <v>120</v>
      </c>
      <c r="F86" s="701" t="e">
        <f t="shared" ref="F86" si="5">+C86*E86</f>
        <v>#REF!</v>
      </c>
    </row>
    <row r="87" spans="1:6" x14ac:dyDescent="0.25">
      <c r="A87" s="226"/>
      <c r="B87" s="303"/>
      <c r="C87" s="700"/>
      <c r="D87" s="701"/>
      <c r="E87" s="702"/>
      <c r="F87" s="701"/>
    </row>
    <row r="88" spans="1:6" x14ac:dyDescent="0.25">
      <c r="A88" s="226"/>
      <c r="B88" s="326" t="s">
        <v>720</v>
      </c>
      <c r="C88" s="700"/>
      <c r="D88" s="701"/>
      <c r="E88" s="702"/>
      <c r="F88" s="701"/>
    </row>
    <row r="89" spans="1:6" ht="41.4" x14ac:dyDescent="0.25">
      <c r="A89" s="226">
        <f>A86+0.01</f>
        <v>10.029999999999999</v>
      </c>
      <c r="B89" s="303" t="s">
        <v>797</v>
      </c>
      <c r="C89" s="700"/>
      <c r="D89" s="701"/>
      <c r="E89" s="702"/>
      <c r="F89" s="701"/>
    </row>
    <row r="90" spans="1:6" x14ac:dyDescent="0.25">
      <c r="A90" s="226"/>
      <c r="B90" s="303" t="s">
        <v>61</v>
      </c>
      <c r="C90" s="700" t="e">
        <f>'m shet Miss premila'!#REF!</f>
        <v>#REF!</v>
      </c>
      <c r="D90" s="701" t="s">
        <v>129</v>
      </c>
      <c r="E90" s="702">
        <v>11097</v>
      </c>
      <c r="F90" s="701" t="e">
        <f>+C90*E90</f>
        <v>#REF!</v>
      </c>
    </row>
    <row r="91" spans="1:6" x14ac:dyDescent="0.25">
      <c r="A91" s="226"/>
      <c r="B91" s="303"/>
      <c r="C91" s="700"/>
      <c r="D91" s="701"/>
      <c r="E91" s="702"/>
      <c r="F91" s="701"/>
    </row>
    <row r="92" spans="1:6" x14ac:dyDescent="0.25">
      <c r="A92" s="226"/>
      <c r="B92" s="303"/>
      <c r="C92" s="700"/>
      <c r="D92" s="701"/>
      <c r="E92" s="702"/>
      <c r="F92" s="701"/>
    </row>
    <row r="93" spans="1:6" x14ac:dyDescent="0.25">
      <c r="A93" s="226"/>
      <c r="B93" s="326" t="s">
        <v>1162</v>
      </c>
      <c r="C93" s="700"/>
      <c r="D93" s="701"/>
      <c r="E93" s="702"/>
      <c r="F93" s="701"/>
    </row>
    <row r="94" spans="1:6" ht="45.6" customHeight="1" x14ac:dyDescent="0.25">
      <c r="A94" s="226">
        <v>10.039999999999999</v>
      </c>
      <c r="B94" s="303" t="s">
        <v>1164</v>
      </c>
      <c r="C94" s="700">
        <f>21*3.28</f>
        <v>68.88</v>
      </c>
      <c r="D94" s="669" t="s">
        <v>167</v>
      </c>
      <c r="E94" s="702">
        <v>201</v>
      </c>
      <c r="F94" s="669">
        <f>E94*C94</f>
        <v>13844.88</v>
      </c>
    </row>
    <row r="95" spans="1:6" x14ac:dyDescent="0.25">
      <c r="A95" s="226"/>
      <c r="B95" s="303"/>
      <c r="C95" s="700"/>
      <c r="D95" s="701"/>
      <c r="E95" s="702"/>
      <c r="F95" s="701"/>
    </row>
    <row r="96" spans="1:6" x14ac:dyDescent="0.25">
      <c r="A96" s="226"/>
      <c r="B96" s="326" t="s">
        <v>722</v>
      </c>
      <c r="C96" s="700"/>
      <c r="D96" s="701"/>
      <c r="E96" s="702"/>
      <c r="F96" s="701"/>
    </row>
    <row r="97" spans="1:13" ht="66" customHeight="1" x14ac:dyDescent="0.25">
      <c r="A97" s="226">
        <f>A89+0.01</f>
        <v>10.039999999999999</v>
      </c>
      <c r="B97" s="303" t="s">
        <v>798</v>
      </c>
      <c r="C97" s="700" t="e">
        <f>C86</f>
        <v>#REF!</v>
      </c>
      <c r="D97" s="701" t="s">
        <v>167</v>
      </c>
      <c r="E97" s="702">
        <v>136</v>
      </c>
      <c r="F97" s="701" t="e">
        <f t="shared" ref="F97" si="6">+C97*E97</f>
        <v>#REF!</v>
      </c>
    </row>
    <row r="98" spans="1:13" x14ac:dyDescent="0.25">
      <c r="A98" s="226"/>
      <c r="B98" s="303"/>
      <c r="C98" s="700"/>
      <c r="D98" s="701"/>
      <c r="E98" s="702"/>
      <c r="F98" s="701"/>
    </row>
    <row r="99" spans="1:13" x14ac:dyDescent="0.25">
      <c r="A99" s="226"/>
      <c r="B99" s="303"/>
      <c r="C99" s="700"/>
      <c r="D99" s="701"/>
      <c r="E99" s="702"/>
      <c r="F99" s="701"/>
    </row>
    <row r="100" spans="1:13" x14ac:dyDescent="0.25">
      <c r="A100" s="708"/>
      <c r="B100" s="709"/>
      <c r="C100" s="782"/>
      <c r="D100" s="726"/>
      <c r="E100" s="776"/>
      <c r="F100" s="726"/>
    </row>
    <row r="101" spans="1:13" x14ac:dyDescent="0.25">
      <c r="A101" s="812">
        <v>11</v>
      </c>
      <c r="B101" s="810" t="s">
        <v>1083</v>
      </c>
      <c r="C101" s="811"/>
      <c r="D101" s="629"/>
      <c r="E101" s="778"/>
      <c r="F101" s="629"/>
    </row>
    <row r="102" spans="1:13" x14ac:dyDescent="0.25">
      <c r="A102" s="226"/>
      <c r="B102" s="302" t="s">
        <v>723</v>
      </c>
      <c r="C102" s="824"/>
      <c r="D102" s="701"/>
      <c r="E102" s="702"/>
      <c r="F102" s="701"/>
    </row>
    <row r="103" spans="1:13" ht="96.6" x14ac:dyDescent="0.25">
      <c r="A103" s="226">
        <f>A101+0.01</f>
        <v>11.01</v>
      </c>
      <c r="B103" s="303" t="s">
        <v>1173</v>
      </c>
      <c r="C103" s="700"/>
      <c r="D103" s="701"/>
      <c r="E103" s="702"/>
      <c r="F103" s="701"/>
      <c r="I103" s="24">
        <f>422/2</f>
        <v>211</v>
      </c>
      <c r="J103" s="24">
        <f>150*100</f>
        <v>15000</v>
      </c>
      <c r="L103" s="24">
        <f>211*100</f>
        <v>21100</v>
      </c>
      <c r="M103" s="24">
        <f>39031-L103+J103</f>
        <v>32931</v>
      </c>
    </row>
    <row r="104" spans="1:13" x14ac:dyDescent="0.25">
      <c r="A104" s="226"/>
      <c r="B104" s="303" t="s">
        <v>715</v>
      </c>
      <c r="C104" s="700">
        <v>5.5</v>
      </c>
      <c r="D104" s="701" t="s">
        <v>129</v>
      </c>
      <c r="E104" s="702">
        <v>32931</v>
      </c>
      <c r="F104" s="701">
        <f>+C104*E104</f>
        <v>181120.5</v>
      </c>
      <c r="L104" s="24">
        <f>165*2</f>
        <v>330</v>
      </c>
    </row>
    <row r="105" spans="1:13" x14ac:dyDescent="0.25">
      <c r="A105" s="226"/>
      <c r="B105" s="303"/>
      <c r="C105" s="700"/>
      <c r="D105" s="701"/>
      <c r="E105" s="702"/>
      <c r="F105" s="701"/>
    </row>
    <row r="106" spans="1:13" ht="34.799999999999997" customHeight="1" x14ac:dyDescent="0.25">
      <c r="A106" s="226">
        <f>A103+0.01</f>
        <v>11.02</v>
      </c>
      <c r="B106" s="303" t="s">
        <v>234</v>
      </c>
      <c r="C106" s="700"/>
      <c r="D106" s="701"/>
      <c r="E106" s="702"/>
      <c r="F106" s="701"/>
    </row>
    <row r="107" spans="1:13" x14ac:dyDescent="0.25">
      <c r="A107" s="226"/>
      <c r="B107" s="303" t="s">
        <v>715</v>
      </c>
      <c r="C107" s="700">
        <f>C104</f>
        <v>5.5</v>
      </c>
      <c r="D107" s="701" t="s">
        <v>129</v>
      </c>
      <c r="E107" s="702">
        <v>5985</v>
      </c>
      <c r="F107" s="701">
        <f t="shared" ref="F107" si="7">+C107*E107</f>
        <v>32917.5</v>
      </c>
    </row>
    <row r="108" spans="1:13" x14ac:dyDescent="0.25">
      <c r="A108" s="226"/>
      <c r="B108" s="303"/>
      <c r="C108" s="700"/>
      <c r="D108" s="701"/>
      <c r="E108" s="702"/>
      <c r="F108" s="701"/>
    </row>
    <row r="109" spans="1:13" x14ac:dyDescent="0.25">
      <c r="A109" s="226"/>
      <c r="B109" s="326" t="s">
        <v>235</v>
      </c>
      <c r="C109" s="700"/>
      <c r="D109" s="701"/>
      <c r="E109" s="702"/>
      <c r="F109" s="701"/>
    </row>
    <row r="110" spans="1:13" ht="63.6" customHeight="1" x14ac:dyDescent="0.25">
      <c r="A110" s="226">
        <f>A106+0.01</f>
        <v>11.03</v>
      </c>
      <c r="B110" s="303" t="s">
        <v>1166</v>
      </c>
      <c r="C110" s="700"/>
      <c r="D110" s="701"/>
      <c r="E110" s="702"/>
      <c r="F110" s="701"/>
    </row>
    <row r="111" spans="1:13" x14ac:dyDescent="0.25">
      <c r="A111" s="226"/>
      <c r="B111" s="303" t="s">
        <v>1084</v>
      </c>
      <c r="C111" s="700">
        <v>1.8</v>
      </c>
      <c r="D111" s="701" t="s">
        <v>129</v>
      </c>
      <c r="E111" s="702">
        <f>E104</f>
        <v>32931</v>
      </c>
      <c r="F111" s="701">
        <f>E111*C111</f>
        <v>59275.8</v>
      </c>
    </row>
    <row r="112" spans="1:13" x14ac:dyDescent="0.25">
      <c r="A112" s="226"/>
      <c r="B112" s="303"/>
      <c r="C112" s="700"/>
      <c r="D112" s="701"/>
      <c r="E112" s="702"/>
      <c r="F112" s="701"/>
    </row>
    <row r="113" spans="1:9" x14ac:dyDescent="0.25">
      <c r="A113" s="226"/>
      <c r="B113" s="326" t="s">
        <v>1061</v>
      </c>
      <c r="C113" s="700"/>
      <c r="D113" s="701"/>
      <c r="E113" s="702"/>
      <c r="F113" s="701"/>
    </row>
    <row r="114" spans="1:9" ht="60.6" customHeight="1" x14ac:dyDescent="0.25">
      <c r="A114" s="226">
        <f>A110+0.01</f>
        <v>11.04</v>
      </c>
      <c r="B114" s="303" t="s">
        <v>1062</v>
      </c>
      <c r="C114" s="700"/>
      <c r="D114" s="701"/>
      <c r="E114" s="702"/>
      <c r="F114" s="701"/>
    </row>
    <row r="115" spans="1:9" x14ac:dyDescent="0.25">
      <c r="A115" s="226"/>
      <c r="B115" s="303" t="s">
        <v>715</v>
      </c>
      <c r="C115" s="700">
        <v>0.1</v>
      </c>
      <c r="D115" s="701" t="s">
        <v>129</v>
      </c>
      <c r="E115" s="702">
        <v>248600</v>
      </c>
      <c r="F115" s="701">
        <f>E115*C115</f>
        <v>24860</v>
      </c>
    </row>
    <row r="116" spans="1:9" x14ac:dyDescent="0.25">
      <c r="A116" s="226"/>
      <c r="B116" s="303"/>
      <c r="C116" s="700"/>
      <c r="D116" s="701"/>
      <c r="E116" s="702"/>
      <c r="F116" s="701"/>
    </row>
    <row r="117" spans="1:9" x14ac:dyDescent="0.25">
      <c r="A117" s="335">
        <v>12</v>
      </c>
      <c r="B117" s="326" t="s">
        <v>1085</v>
      </c>
      <c r="C117" s="700"/>
      <c r="D117" s="701"/>
      <c r="E117" s="702"/>
      <c r="F117" s="701"/>
    </row>
    <row r="118" spans="1:9" x14ac:dyDescent="0.25">
      <c r="A118" s="226"/>
      <c r="B118" s="328" t="s">
        <v>725</v>
      </c>
      <c r="C118" s="824"/>
      <c r="D118" s="701"/>
      <c r="E118" s="702"/>
      <c r="F118" s="701"/>
    </row>
    <row r="119" spans="1:9" ht="27.6" x14ac:dyDescent="0.25">
      <c r="A119" s="226">
        <f>A117+0.01</f>
        <v>12.01</v>
      </c>
      <c r="B119" s="303" t="s">
        <v>375</v>
      </c>
      <c r="C119" s="700"/>
      <c r="D119" s="701"/>
      <c r="E119" s="702"/>
      <c r="F119" s="701"/>
      <c r="I119" s="24">
        <f>28/9.29</f>
        <v>3.0139935414424115</v>
      </c>
    </row>
    <row r="120" spans="1:9" x14ac:dyDescent="0.25">
      <c r="A120" s="226"/>
      <c r="B120" s="303" t="s">
        <v>61</v>
      </c>
      <c r="C120" s="700" t="e">
        <f>C90</f>
        <v>#REF!</v>
      </c>
      <c r="D120" s="701" t="s">
        <v>129</v>
      </c>
      <c r="E120" s="702">
        <v>1505</v>
      </c>
      <c r="F120" s="701" t="e">
        <f t="shared" ref="F120" si="8">+C120*E120</f>
        <v>#REF!</v>
      </c>
    </row>
    <row r="121" spans="1:9" x14ac:dyDescent="0.25">
      <c r="A121" s="226"/>
      <c r="B121" s="303"/>
      <c r="C121" s="700"/>
      <c r="D121" s="701"/>
      <c r="E121" s="702"/>
      <c r="F121" s="701"/>
    </row>
    <row r="122" spans="1:9" ht="41.4" x14ac:dyDescent="0.25">
      <c r="A122" s="226">
        <f>A119+0.01</f>
        <v>12.02</v>
      </c>
      <c r="B122" s="303" t="s">
        <v>799</v>
      </c>
      <c r="C122" s="700"/>
      <c r="D122" s="701"/>
      <c r="E122" s="702"/>
      <c r="F122" s="701"/>
    </row>
    <row r="123" spans="1:9" x14ac:dyDescent="0.25">
      <c r="A123" s="226"/>
      <c r="B123" s="303" t="s">
        <v>61</v>
      </c>
      <c r="C123" s="700" t="e">
        <f>C120</f>
        <v>#REF!</v>
      </c>
      <c r="D123" s="701" t="s">
        <v>129</v>
      </c>
      <c r="E123" s="702">
        <v>3806</v>
      </c>
      <c r="F123" s="701" t="e">
        <f t="shared" ref="F123" si="9">+C123*E123</f>
        <v>#REF!</v>
      </c>
    </row>
    <row r="124" spans="1:9" x14ac:dyDescent="0.25">
      <c r="A124" s="226"/>
      <c r="B124" s="303"/>
      <c r="C124" s="700"/>
      <c r="D124" s="701"/>
      <c r="E124" s="702"/>
      <c r="F124" s="701"/>
    </row>
    <row r="125" spans="1:9" ht="55.2" x14ac:dyDescent="0.25">
      <c r="A125" s="226">
        <f>A122+0.01</f>
        <v>12.03</v>
      </c>
      <c r="B125" s="303" t="s">
        <v>800</v>
      </c>
      <c r="C125" s="700"/>
      <c r="D125" s="701"/>
      <c r="E125" s="702"/>
      <c r="F125" s="701"/>
    </row>
    <row r="126" spans="1:9" x14ac:dyDescent="0.25">
      <c r="A126" s="226"/>
      <c r="B126" s="303" t="s">
        <v>61</v>
      </c>
      <c r="C126" s="700">
        <v>3</v>
      </c>
      <c r="D126" s="701" t="s">
        <v>129</v>
      </c>
      <c r="E126" s="702">
        <v>4548</v>
      </c>
      <c r="F126" s="701">
        <f t="shared" ref="F126" si="10">+C126*E126</f>
        <v>13644</v>
      </c>
    </row>
    <row r="127" spans="1:9" x14ac:dyDescent="0.25">
      <c r="A127" s="226"/>
      <c r="B127" s="303"/>
      <c r="C127" s="700"/>
      <c r="D127" s="701"/>
      <c r="E127" s="702"/>
      <c r="F127" s="701"/>
    </row>
    <row r="128" spans="1:9" x14ac:dyDescent="0.25">
      <c r="A128" s="226"/>
      <c r="B128" s="326" t="s">
        <v>726</v>
      </c>
      <c r="C128" s="700"/>
      <c r="D128" s="701"/>
      <c r="E128" s="702"/>
      <c r="F128" s="701"/>
    </row>
    <row r="129" spans="1:9" ht="46.2" customHeight="1" x14ac:dyDescent="0.25">
      <c r="A129" s="226">
        <f>A125+0.01</f>
        <v>12.04</v>
      </c>
      <c r="B129" s="303" t="s">
        <v>801</v>
      </c>
      <c r="C129" s="700"/>
      <c r="D129" s="701"/>
      <c r="E129" s="702"/>
      <c r="F129" s="701"/>
    </row>
    <row r="130" spans="1:9" x14ac:dyDescent="0.25">
      <c r="A130" s="226"/>
      <c r="B130" s="303" t="s">
        <v>61</v>
      </c>
      <c r="C130" s="700" t="e">
        <f>C83</f>
        <v>#REF!</v>
      </c>
      <c r="D130" s="701" t="s">
        <v>129</v>
      </c>
      <c r="E130" s="702">
        <v>1653</v>
      </c>
      <c r="F130" s="701" t="e">
        <f t="shared" ref="F130" si="11">+C130*E130</f>
        <v>#REF!</v>
      </c>
    </row>
    <row r="131" spans="1:9" x14ac:dyDescent="0.25">
      <c r="A131" s="226"/>
      <c r="B131" s="303"/>
      <c r="C131" s="700"/>
      <c r="D131" s="701"/>
      <c r="E131" s="702"/>
      <c r="F131" s="701"/>
    </row>
    <row r="132" spans="1:9" ht="41.4" x14ac:dyDescent="0.25">
      <c r="A132" s="226">
        <f>A129+0.01</f>
        <v>12.049999999999999</v>
      </c>
      <c r="B132" s="303" t="s">
        <v>802</v>
      </c>
      <c r="C132" s="700"/>
      <c r="D132" s="701"/>
      <c r="E132" s="702"/>
      <c r="F132" s="701"/>
    </row>
    <row r="133" spans="1:9" x14ac:dyDescent="0.25">
      <c r="A133" s="708"/>
      <c r="B133" s="709" t="s">
        <v>61</v>
      </c>
      <c r="C133" s="782">
        <v>0.5</v>
      </c>
      <c r="D133" s="726" t="s">
        <v>129</v>
      </c>
      <c r="E133" s="776">
        <v>4427</v>
      </c>
      <c r="F133" s="726">
        <f t="shared" ref="F133" si="12">+C133*E133</f>
        <v>2213.5</v>
      </c>
    </row>
    <row r="134" spans="1:9" x14ac:dyDescent="0.25">
      <c r="A134" s="812">
        <v>13</v>
      </c>
      <c r="B134" s="810" t="s">
        <v>1086</v>
      </c>
      <c r="C134" s="811"/>
      <c r="D134" s="629"/>
      <c r="E134" s="778"/>
      <c r="F134" s="629"/>
    </row>
    <row r="135" spans="1:9" x14ac:dyDescent="0.25">
      <c r="A135" s="226"/>
      <c r="B135" s="326" t="s">
        <v>583</v>
      </c>
      <c r="C135" s="700"/>
      <c r="D135" s="701"/>
      <c r="E135" s="702"/>
      <c r="F135" s="701"/>
    </row>
    <row r="136" spans="1:9" ht="147.6" customHeight="1" x14ac:dyDescent="0.25">
      <c r="A136" s="226">
        <f>A134+0.01</f>
        <v>13.01</v>
      </c>
      <c r="B136" s="772" t="s">
        <v>1167</v>
      </c>
      <c r="C136" s="771">
        <v>2</v>
      </c>
      <c r="D136" s="701" t="s">
        <v>78</v>
      </c>
      <c r="E136" s="702">
        <v>9500</v>
      </c>
      <c r="F136" s="701">
        <f>E136*C136</f>
        <v>19000</v>
      </c>
      <c r="I136" s="24">
        <f>12500-3000</f>
        <v>9500</v>
      </c>
    </row>
    <row r="137" spans="1:9" ht="15.6" x14ac:dyDescent="0.25">
      <c r="A137" s="226"/>
      <c r="B137" s="772"/>
      <c r="C137" s="771"/>
      <c r="D137" s="701"/>
      <c r="E137" s="702"/>
      <c r="F137" s="701"/>
    </row>
    <row r="138" spans="1:9" ht="102" customHeight="1" x14ac:dyDescent="0.25">
      <c r="A138" s="226">
        <f>A136+0.01</f>
        <v>13.02</v>
      </c>
      <c r="B138" s="772" t="s">
        <v>1168</v>
      </c>
      <c r="C138" s="771">
        <v>1</v>
      </c>
      <c r="D138" s="701" t="s">
        <v>78</v>
      </c>
      <c r="E138" s="702">
        <f>13808-5000</f>
        <v>8808</v>
      </c>
      <c r="F138" s="701">
        <f>E138*C138</f>
        <v>8808</v>
      </c>
    </row>
    <row r="139" spans="1:9" x14ac:dyDescent="0.25">
      <c r="A139" s="226"/>
      <c r="B139" s="303"/>
      <c r="C139" s="700"/>
      <c r="D139" s="701"/>
      <c r="E139" s="702"/>
      <c r="F139" s="701"/>
    </row>
    <row r="140" spans="1:9" ht="72.599999999999994" customHeight="1" x14ac:dyDescent="0.25">
      <c r="A140" s="226">
        <f>A138+0.01</f>
        <v>13.03</v>
      </c>
      <c r="B140" s="826" t="s">
        <v>1169</v>
      </c>
      <c r="C140" s="771">
        <v>2</v>
      </c>
      <c r="D140" s="701" t="s">
        <v>78</v>
      </c>
      <c r="E140" s="702">
        <f>7354-1000</f>
        <v>6354</v>
      </c>
      <c r="F140" s="701">
        <f>E140*C140</f>
        <v>12708</v>
      </c>
    </row>
    <row r="141" spans="1:9" x14ac:dyDescent="0.25">
      <c r="A141" s="226"/>
      <c r="B141" s="303"/>
      <c r="C141" s="700"/>
      <c r="D141" s="701"/>
      <c r="E141" s="702"/>
      <c r="F141" s="701"/>
    </row>
    <row r="142" spans="1:9" ht="85.8" customHeight="1" x14ac:dyDescent="0.25">
      <c r="A142" s="226">
        <f>A140+0.01</f>
        <v>13.04</v>
      </c>
      <c r="B142" s="826" t="s">
        <v>1170</v>
      </c>
      <c r="C142" s="771">
        <v>2</v>
      </c>
      <c r="D142" s="701" t="s">
        <v>168</v>
      </c>
      <c r="E142" s="702">
        <f>6831-1000</f>
        <v>5831</v>
      </c>
      <c r="F142" s="701">
        <f>E142*C142</f>
        <v>11662</v>
      </c>
    </row>
    <row r="143" spans="1:9" x14ac:dyDescent="0.25">
      <c r="A143" s="226"/>
      <c r="B143" s="303"/>
      <c r="C143" s="700"/>
      <c r="D143" s="701"/>
      <c r="E143" s="702"/>
      <c r="F143" s="701"/>
    </row>
    <row r="144" spans="1:9" ht="69.599999999999994" customHeight="1" x14ac:dyDescent="0.25">
      <c r="A144" s="226">
        <f>A142+0.01</f>
        <v>13.049999999999999</v>
      </c>
      <c r="B144" s="826" t="s">
        <v>917</v>
      </c>
      <c r="C144" s="771">
        <v>8</v>
      </c>
      <c r="D144" s="701" t="s">
        <v>78</v>
      </c>
      <c r="E144" s="702">
        <v>1654</v>
      </c>
      <c r="F144" s="701">
        <f>E144*C144</f>
        <v>13232</v>
      </c>
    </row>
    <row r="145" spans="1:11" x14ac:dyDescent="0.25">
      <c r="A145" s="226"/>
      <c r="B145" s="303"/>
      <c r="C145" s="700"/>
      <c r="D145" s="701"/>
      <c r="E145" s="702"/>
      <c r="F145" s="701"/>
    </row>
    <row r="146" spans="1:11" ht="71.400000000000006" customHeight="1" x14ac:dyDescent="0.25">
      <c r="A146" s="226">
        <f>A144+0.01</f>
        <v>13.059999999999999</v>
      </c>
      <c r="B146" s="826" t="s">
        <v>918</v>
      </c>
      <c r="C146" s="771">
        <v>2</v>
      </c>
      <c r="D146" s="701" t="s">
        <v>78</v>
      </c>
      <c r="E146" s="702">
        <v>2613</v>
      </c>
      <c r="F146" s="701">
        <f>E146*C146</f>
        <v>5226</v>
      </c>
    </row>
    <row r="147" spans="1:11" x14ac:dyDescent="0.25">
      <c r="A147" s="226"/>
      <c r="B147" s="303"/>
      <c r="C147" s="700"/>
      <c r="D147" s="701"/>
      <c r="E147" s="702"/>
      <c r="F147" s="701"/>
    </row>
    <row r="148" spans="1:11" ht="70.8" customHeight="1" x14ac:dyDescent="0.25">
      <c r="A148" s="226">
        <f>A146+0.01</f>
        <v>13.069999999999999</v>
      </c>
      <c r="B148" s="826" t="s">
        <v>1108</v>
      </c>
      <c r="C148" s="771">
        <v>2</v>
      </c>
      <c r="D148" s="701" t="s">
        <v>78</v>
      </c>
      <c r="E148" s="702">
        <v>1553</v>
      </c>
      <c r="F148" s="701">
        <f>E148*C148</f>
        <v>3106</v>
      </c>
    </row>
    <row r="149" spans="1:11" x14ac:dyDescent="0.25">
      <c r="A149" s="708"/>
      <c r="B149" s="709"/>
      <c r="C149" s="782"/>
      <c r="D149" s="726"/>
      <c r="E149" s="776"/>
      <c r="F149" s="726"/>
    </row>
    <row r="150" spans="1:11" ht="69.599999999999994" customHeight="1" x14ac:dyDescent="0.25">
      <c r="A150" s="714">
        <f>A148+0.01</f>
        <v>13.079999999999998</v>
      </c>
      <c r="B150" s="828" t="s">
        <v>1107</v>
      </c>
      <c r="C150" s="777">
        <v>2</v>
      </c>
      <c r="D150" s="629" t="s">
        <v>78</v>
      </c>
      <c r="E150" s="778">
        <v>1635</v>
      </c>
      <c r="F150" s="629">
        <f>E150*C150</f>
        <v>3270</v>
      </c>
    </row>
    <row r="151" spans="1:11" x14ac:dyDescent="0.25">
      <c r="A151" s="226"/>
      <c r="B151" s="303"/>
      <c r="C151" s="700"/>
      <c r="D151" s="701"/>
      <c r="E151" s="702"/>
      <c r="F151" s="701"/>
    </row>
    <row r="152" spans="1:11" ht="57" customHeight="1" x14ac:dyDescent="0.25">
      <c r="A152" s="226">
        <f>A150+0.01</f>
        <v>13.089999999999998</v>
      </c>
      <c r="B152" s="826" t="s">
        <v>1106</v>
      </c>
      <c r="C152" s="771">
        <v>2</v>
      </c>
      <c r="D152" s="701" t="s">
        <v>78</v>
      </c>
      <c r="E152" s="702">
        <v>2292</v>
      </c>
      <c r="F152" s="701">
        <f>E152*C152</f>
        <v>4584</v>
      </c>
    </row>
    <row r="153" spans="1:11" x14ac:dyDescent="0.25">
      <c r="A153" s="226"/>
      <c r="B153" s="303"/>
      <c r="C153" s="700"/>
      <c r="D153" s="701"/>
      <c r="E153" s="702"/>
      <c r="F153" s="701"/>
    </row>
    <row r="154" spans="1:11" ht="62.4" x14ac:dyDescent="0.25">
      <c r="A154" s="226">
        <f>A152+0.01</f>
        <v>13.099999999999998</v>
      </c>
      <c r="B154" s="826" t="s">
        <v>919</v>
      </c>
      <c r="C154" s="771">
        <v>1</v>
      </c>
      <c r="D154" s="701" t="s">
        <v>78</v>
      </c>
      <c r="E154" s="702">
        <v>4800</v>
      </c>
      <c r="F154" s="701">
        <f>E154*C154</f>
        <v>4800</v>
      </c>
    </row>
    <row r="155" spans="1:11" x14ac:dyDescent="0.25">
      <c r="A155" s="226"/>
      <c r="B155" s="303"/>
      <c r="C155" s="700"/>
      <c r="D155" s="701"/>
      <c r="E155" s="702"/>
      <c r="F155" s="701"/>
    </row>
    <row r="156" spans="1:11" ht="72.599999999999994" customHeight="1" x14ac:dyDescent="0.25">
      <c r="A156" s="226">
        <f>A154+0.01</f>
        <v>13.109999999999998</v>
      </c>
      <c r="B156" s="826" t="s">
        <v>1092</v>
      </c>
      <c r="C156" s="771">
        <v>2</v>
      </c>
      <c r="D156" s="701" t="s">
        <v>78</v>
      </c>
      <c r="E156" s="702">
        <f>2100+930</f>
        <v>3030</v>
      </c>
      <c r="F156" s="701">
        <f>E156*C156</f>
        <v>6060</v>
      </c>
      <c r="H156" s="24">
        <v>3611</v>
      </c>
      <c r="J156" s="24">
        <v>4538</v>
      </c>
      <c r="K156" s="24">
        <f>J156-H156</f>
        <v>927</v>
      </c>
    </row>
    <row r="157" spans="1:11" ht="15.6" x14ac:dyDescent="0.25">
      <c r="A157" s="226"/>
      <c r="B157" s="772"/>
      <c r="C157" s="771"/>
      <c r="D157" s="701"/>
      <c r="E157" s="702"/>
      <c r="F157" s="701"/>
    </row>
    <row r="158" spans="1:11" ht="55.8" customHeight="1" x14ac:dyDescent="0.25">
      <c r="A158" s="226">
        <f>A156+0.01</f>
        <v>13.119999999999997</v>
      </c>
      <c r="B158" s="826" t="s">
        <v>1091</v>
      </c>
      <c r="C158" s="771">
        <v>5</v>
      </c>
      <c r="D158" s="701" t="s">
        <v>78</v>
      </c>
      <c r="E158" s="702">
        <v>1630</v>
      </c>
      <c r="F158" s="701">
        <f>E158*C158</f>
        <v>8150</v>
      </c>
      <c r="H158" s="24">
        <v>2204</v>
      </c>
      <c r="J158" s="24">
        <v>2833</v>
      </c>
      <c r="K158" s="24">
        <f>J158-H158</f>
        <v>629</v>
      </c>
    </row>
    <row r="159" spans="1:11" ht="15.6" x14ac:dyDescent="0.25">
      <c r="A159" s="226"/>
      <c r="B159" s="772"/>
      <c r="C159" s="771"/>
      <c r="D159" s="701"/>
      <c r="E159" s="702"/>
      <c r="F159" s="701"/>
    </row>
    <row r="160" spans="1:11" ht="43.2" customHeight="1" x14ac:dyDescent="0.25">
      <c r="A160" s="226">
        <f>A158+0.01</f>
        <v>13.129999999999997</v>
      </c>
      <c r="B160" s="826" t="s">
        <v>1109</v>
      </c>
      <c r="C160" s="771">
        <v>3</v>
      </c>
      <c r="D160" s="701" t="s">
        <v>78</v>
      </c>
      <c r="E160" s="702">
        <v>6500</v>
      </c>
      <c r="F160" s="701">
        <f>E160*C160</f>
        <v>19500</v>
      </c>
    </row>
    <row r="161" spans="1:6" x14ac:dyDescent="0.25">
      <c r="A161" s="226"/>
      <c r="B161" s="303"/>
      <c r="C161" s="700"/>
      <c r="D161" s="701"/>
      <c r="E161" s="702"/>
      <c r="F161" s="701"/>
    </row>
    <row r="162" spans="1:6" x14ac:dyDescent="0.25">
      <c r="A162" s="226"/>
      <c r="B162" s="326" t="s">
        <v>921</v>
      </c>
      <c r="C162" s="700"/>
      <c r="D162" s="701"/>
      <c r="E162" s="702"/>
      <c r="F162" s="701"/>
    </row>
    <row r="163" spans="1:6" ht="73.8" customHeight="1" x14ac:dyDescent="0.25">
      <c r="A163" s="226">
        <f>A160+0.01</f>
        <v>13.139999999999997</v>
      </c>
      <c r="B163" s="826" t="s">
        <v>1171</v>
      </c>
      <c r="C163" s="771">
        <v>6</v>
      </c>
      <c r="D163" s="701" t="s">
        <v>78</v>
      </c>
      <c r="E163" s="702">
        <f>1600-500</f>
        <v>1100</v>
      </c>
      <c r="F163" s="701">
        <f>E163*C163</f>
        <v>6600</v>
      </c>
    </row>
    <row r="164" spans="1:6" ht="15.6" x14ac:dyDescent="0.25">
      <c r="A164" s="226"/>
      <c r="B164" s="772"/>
      <c r="C164" s="771"/>
      <c r="D164" s="701"/>
      <c r="E164" s="702"/>
      <c r="F164" s="701"/>
    </row>
    <row r="165" spans="1:6" ht="57.6" customHeight="1" x14ac:dyDescent="0.25">
      <c r="A165" s="226">
        <f>A163+0.01</f>
        <v>13.149999999999997</v>
      </c>
      <c r="B165" s="826" t="s">
        <v>1172</v>
      </c>
      <c r="C165" s="771">
        <v>1</v>
      </c>
      <c r="D165" s="701" t="s">
        <v>78</v>
      </c>
      <c r="E165" s="702">
        <v>1600</v>
      </c>
      <c r="F165" s="701">
        <f>E165*C165</f>
        <v>1600</v>
      </c>
    </row>
    <row r="166" spans="1:6" ht="15.6" x14ac:dyDescent="0.25">
      <c r="A166" s="226"/>
      <c r="B166" s="772"/>
      <c r="C166" s="771"/>
      <c r="D166" s="701"/>
      <c r="E166" s="702"/>
      <c r="F166" s="701"/>
    </row>
    <row r="167" spans="1:6" ht="55.2" customHeight="1" x14ac:dyDescent="0.25">
      <c r="A167" s="226">
        <f>A165+0.01</f>
        <v>13.159999999999997</v>
      </c>
      <c r="B167" s="772" t="s">
        <v>1161</v>
      </c>
      <c r="C167" s="771">
        <v>2</v>
      </c>
      <c r="D167" s="701" t="s">
        <v>78</v>
      </c>
      <c r="E167" s="702">
        <v>1250</v>
      </c>
      <c r="F167" s="701">
        <f>E167*C167</f>
        <v>2500</v>
      </c>
    </row>
    <row r="168" spans="1:6" ht="15.6" x14ac:dyDescent="0.25">
      <c r="A168" s="226"/>
      <c r="B168" s="772"/>
      <c r="C168" s="771"/>
      <c r="D168" s="701"/>
      <c r="E168" s="702"/>
      <c r="F168" s="701"/>
    </row>
    <row r="169" spans="1:6" ht="70.2" customHeight="1" x14ac:dyDescent="0.25">
      <c r="A169" s="226">
        <f>A167+0.01</f>
        <v>13.169999999999996</v>
      </c>
      <c r="B169" s="826" t="s">
        <v>1093</v>
      </c>
      <c r="C169" s="771">
        <v>2</v>
      </c>
      <c r="D169" s="701" t="s">
        <v>78</v>
      </c>
      <c r="E169" s="702">
        <v>1250</v>
      </c>
      <c r="F169" s="701">
        <f>E169*C169</f>
        <v>2500</v>
      </c>
    </row>
    <row r="170" spans="1:6" ht="15.6" x14ac:dyDescent="0.25">
      <c r="A170" s="708"/>
      <c r="B170" s="779"/>
      <c r="C170" s="775"/>
      <c r="D170" s="726"/>
      <c r="E170" s="776"/>
      <c r="F170" s="726"/>
    </row>
    <row r="171" spans="1:6" ht="85.8" customHeight="1" x14ac:dyDescent="0.25">
      <c r="A171" s="714">
        <f>A169+0.01</f>
        <v>13.179999999999996</v>
      </c>
      <c r="B171" s="780" t="s">
        <v>924</v>
      </c>
      <c r="C171" s="777">
        <v>6</v>
      </c>
      <c r="D171" s="629" t="s">
        <v>78</v>
      </c>
      <c r="E171" s="778">
        <v>2525</v>
      </c>
      <c r="F171" s="629">
        <f>E171*C171</f>
        <v>15150</v>
      </c>
    </row>
    <row r="172" spans="1:6" ht="15.6" x14ac:dyDescent="0.25">
      <c r="A172" s="226"/>
      <c r="B172" s="772"/>
      <c r="C172" s="771"/>
      <c r="D172" s="701"/>
      <c r="E172" s="702"/>
      <c r="F172" s="701"/>
    </row>
    <row r="173" spans="1:6" ht="65.400000000000006" customHeight="1" x14ac:dyDescent="0.25">
      <c r="A173" s="226">
        <f>A171+0.01</f>
        <v>13.189999999999996</v>
      </c>
      <c r="B173" s="772" t="s">
        <v>1094</v>
      </c>
      <c r="C173" s="771">
        <v>2</v>
      </c>
      <c r="D173" s="701" t="s">
        <v>78</v>
      </c>
      <c r="E173" s="702">
        <v>3000</v>
      </c>
      <c r="F173" s="701">
        <f>E173*C173</f>
        <v>6000</v>
      </c>
    </row>
    <row r="174" spans="1:6" ht="15.6" x14ac:dyDescent="0.25">
      <c r="A174" s="226"/>
      <c r="B174" s="772"/>
      <c r="C174" s="771"/>
      <c r="D174" s="701"/>
      <c r="E174" s="702"/>
      <c r="F174" s="701"/>
    </row>
    <row r="175" spans="1:6" ht="15.6" x14ac:dyDescent="0.25">
      <c r="A175" s="335">
        <v>14</v>
      </c>
      <c r="B175" s="311" t="s">
        <v>932</v>
      </c>
      <c r="C175" s="771"/>
      <c r="D175" s="701"/>
      <c r="E175" s="702"/>
      <c r="F175" s="701"/>
    </row>
    <row r="176" spans="1:6" ht="58.8" customHeight="1" x14ac:dyDescent="0.25">
      <c r="A176" s="226"/>
      <c r="B176" s="826" t="s">
        <v>946</v>
      </c>
      <c r="C176" s="771"/>
      <c r="D176" s="701"/>
      <c r="E176" s="702"/>
      <c r="F176" s="701"/>
    </row>
    <row r="177" spans="1:6" ht="15.6" x14ac:dyDescent="0.25">
      <c r="A177" s="226"/>
      <c r="B177" s="772"/>
      <c r="C177" s="771"/>
      <c r="D177" s="701"/>
      <c r="E177" s="702"/>
      <c r="F177" s="701"/>
    </row>
    <row r="178" spans="1:6" ht="15.6" x14ac:dyDescent="0.25">
      <c r="A178" s="226"/>
      <c r="B178" s="311" t="s">
        <v>285</v>
      </c>
      <c r="C178" s="771"/>
      <c r="D178" s="701"/>
      <c r="E178" s="702"/>
      <c r="F178" s="701"/>
    </row>
    <row r="179" spans="1:6" ht="38.4" customHeight="1" x14ac:dyDescent="0.25">
      <c r="A179" s="226">
        <f>A175+0.01</f>
        <v>14.01</v>
      </c>
      <c r="B179" s="772" t="s">
        <v>937</v>
      </c>
      <c r="C179" s="771">
        <v>25</v>
      </c>
      <c r="D179" s="701" t="s">
        <v>934</v>
      </c>
      <c r="E179" s="702">
        <v>93</v>
      </c>
      <c r="F179" s="701">
        <f>E179*C179</f>
        <v>2325</v>
      </c>
    </row>
    <row r="180" spans="1:6" ht="15.6" x14ac:dyDescent="0.25">
      <c r="A180" s="226"/>
      <c r="B180" s="311"/>
      <c r="C180" s="771"/>
      <c r="D180" s="701"/>
      <c r="E180" s="702"/>
      <c r="F180" s="701"/>
    </row>
    <row r="181" spans="1:6" ht="37.799999999999997" customHeight="1" x14ac:dyDescent="0.25">
      <c r="A181" s="226">
        <f>A179+0.01</f>
        <v>14.02</v>
      </c>
      <c r="B181" s="772" t="s">
        <v>938</v>
      </c>
      <c r="C181" s="771">
        <v>15</v>
      </c>
      <c r="D181" s="701" t="s">
        <v>934</v>
      </c>
      <c r="E181" s="702">
        <v>131</v>
      </c>
      <c r="F181" s="701">
        <f>E181*C181</f>
        <v>1965</v>
      </c>
    </row>
    <row r="182" spans="1:6" ht="15.6" x14ac:dyDescent="0.25">
      <c r="A182" s="226"/>
      <c r="B182" s="311"/>
      <c r="C182" s="771"/>
      <c r="D182" s="701"/>
      <c r="E182" s="702"/>
      <c r="F182" s="701"/>
    </row>
    <row r="183" spans="1:6" ht="36" customHeight="1" x14ac:dyDescent="0.25">
      <c r="A183" s="226">
        <f>A181+0.01</f>
        <v>14.03</v>
      </c>
      <c r="B183" s="772" t="s">
        <v>939</v>
      </c>
      <c r="C183" s="771">
        <v>15</v>
      </c>
      <c r="D183" s="701" t="s">
        <v>934</v>
      </c>
      <c r="E183" s="702">
        <v>145</v>
      </c>
      <c r="F183" s="701">
        <f>E183*C183</f>
        <v>2175</v>
      </c>
    </row>
    <row r="184" spans="1:6" ht="15.6" x14ac:dyDescent="0.25">
      <c r="A184" s="226"/>
      <c r="B184" s="311"/>
      <c r="C184" s="771"/>
      <c r="D184" s="701"/>
      <c r="E184" s="702"/>
      <c r="F184" s="701"/>
    </row>
    <row r="185" spans="1:6" ht="37.799999999999997" customHeight="1" x14ac:dyDescent="0.25">
      <c r="A185" s="226">
        <f>A183+0.01</f>
        <v>14.04</v>
      </c>
      <c r="B185" s="772" t="s">
        <v>940</v>
      </c>
      <c r="C185" s="771">
        <v>20</v>
      </c>
      <c r="D185" s="701" t="s">
        <v>934</v>
      </c>
      <c r="E185" s="702">
        <v>177</v>
      </c>
      <c r="F185" s="701">
        <f>E185*C185</f>
        <v>3540</v>
      </c>
    </row>
    <row r="186" spans="1:6" ht="15.6" x14ac:dyDescent="0.25">
      <c r="A186" s="226"/>
      <c r="B186" s="311"/>
      <c r="C186" s="771"/>
      <c r="D186" s="701"/>
      <c r="E186" s="702"/>
      <c r="F186" s="701"/>
    </row>
    <row r="187" spans="1:6" ht="38.4" customHeight="1" x14ac:dyDescent="0.25">
      <c r="A187" s="226">
        <f>A185+0.01</f>
        <v>14.049999999999999</v>
      </c>
      <c r="B187" s="772" t="s">
        <v>941</v>
      </c>
      <c r="C187" s="771">
        <v>15</v>
      </c>
      <c r="D187" s="701" t="s">
        <v>934</v>
      </c>
      <c r="E187" s="702">
        <v>228</v>
      </c>
      <c r="F187" s="701">
        <f>E187*C187</f>
        <v>3420</v>
      </c>
    </row>
    <row r="188" spans="1:6" ht="15.6" x14ac:dyDescent="0.25">
      <c r="A188" s="226"/>
      <c r="B188" s="311"/>
      <c r="C188" s="771"/>
      <c r="D188" s="701"/>
      <c r="E188" s="702"/>
      <c r="F188" s="701"/>
    </row>
    <row r="189" spans="1:6" ht="37.799999999999997" customHeight="1" x14ac:dyDescent="0.25">
      <c r="A189" s="226">
        <f>A187+0.01</f>
        <v>14.059999999999999</v>
      </c>
      <c r="B189" s="772" t="s">
        <v>942</v>
      </c>
      <c r="C189" s="771">
        <v>10</v>
      </c>
      <c r="D189" s="701" t="s">
        <v>934</v>
      </c>
      <c r="E189" s="702">
        <v>353</v>
      </c>
      <c r="F189" s="701">
        <f>E189*C189</f>
        <v>3530</v>
      </c>
    </row>
    <row r="190" spans="1:6" ht="15.6" x14ac:dyDescent="0.25">
      <c r="A190" s="226"/>
      <c r="B190" s="311"/>
      <c r="C190" s="771"/>
      <c r="D190" s="701"/>
      <c r="E190" s="702"/>
      <c r="F190" s="701"/>
    </row>
    <row r="191" spans="1:6" ht="15.6" x14ac:dyDescent="0.25">
      <c r="A191" s="226"/>
      <c r="B191" s="311" t="s">
        <v>935</v>
      </c>
      <c r="C191" s="771"/>
      <c r="D191" s="701"/>
      <c r="E191" s="702"/>
      <c r="F191" s="701"/>
    </row>
    <row r="192" spans="1:6" ht="38.4" customHeight="1" x14ac:dyDescent="0.25">
      <c r="A192" s="226">
        <f>A189+0.01</f>
        <v>14.069999999999999</v>
      </c>
      <c r="B192" s="772" t="s">
        <v>943</v>
      </c>
      <c r="C192" s="771">
        <v>20</v>
      </c>
      <c r="D192" s="701" t="s">
        <v>167</v>
      </c>
      <c r="E192" s="702">
        <v>145</v>
      </c>
      <c r="F192" s="701">
        <f>E192*C192</f>
        <v>2900</v>
      </c>
    </row>
    <row r="193" spans="1:6" ht="15.6" x14ac:dyDescent="0.25">
      <c r="A193" s="226"/>
      <c r="B193" s="311"/>
      <c r="C193" s="771"/>
      <c r="D193" s="701"/>
      <c r="E193" s="702"/>
      <c r="F193" s="701"/>
    </row>
    <row r="194" spans="1:6" ht="39" customHeight="1" x14ac:dyDescent="0.25">
      <c r="A194" s="226">
        <f>A192+0.01</f>
        <v>14.079999999999998</v>
      </c>
      <c r="B194" s="772" t="s">
        <v>944</v>
      </c>
      <c r="C194" s="771">
        <v>15</v>
      </c>
      <c r="D194" s="701" t="s">
        <v>167</v>
      </c>
      <c r="E194" s="702">
        <v>158</v>
      </c>
      <c r="F194" s="701">
        <f>E194*C194</f>
        <v>2370</v>
      </c>
    </row>
    <row r="195" spans="1:6" ht="15.6" x14ac:dyDescent="0.25">
      <c r="A195" s="226"/>
      <c r="B195" s="311"/>
      <c r="C195" s="771"/>
      <c r="D195" s="701"/>
      <c r="E195" s="702"/>
      <c r="F195" s="701"/>
    </row>
    <row r="196" spans="1:6" ht="39" customHeight="1" x14ac:dyDescent="0.25">
      <c r="A196" s="226">
        <f>A194+0.01</f>
        <v>14.089999999999998</v>
      </c>
      <c r="B196" s="772" t="s">
        <v>945</v>
      </c>
      <c r="C196" s="771">
        <v>20</v>
      </c>
      <c r="D196" s="701" t="s">
        <v>167</v>
      </c>
      <c r="E196" s="702">
        <v>238</v>
      </c>
      <c r="F196" s="701">
        <f>E196*C196</f>
        <v>4760</v>
      </c>
    </row>
    <row r="197" spans="1:6" ht="15.6" x14ac:dyDescent="0.25">
      <c r="A197" s="226"/>
      <c r="B197" s="772"/>
      <c r="C197" s="771"/>
      <c r="D197" s="701"/>
      <c r="E197" s="702"/>
      <c r="F197" s="701"/>
    </row>
    <row r="198" spans="1:6" ht="15.6" x14ac:dyDescent="0.25">
      <c r="A198" s="708"/>
      <c r="B198" s="779"/>
      <c r="C198" s="775"/>
      <c r="D198" s="726"/>
      <c r="E198" s="776"/>
      <c r="F198" s="726"/>
    </row>
    <row r="199" spans="1:6" ht="15.6" x14ac:dyDescent="0.25">
      <c r="A199" s="714"/>
      <c r="B199" s="781" t="s">
        <v>290</v>
      </c>
      <c r="C199" s="777"/>
      <c r="D199" s="629"/>
      <c r="E199" s="778"/>
      <c r="F199" s="629"/>
    </row>
    <row r="200" spans="1:6" ht="86.4" customHeight="1" x14ac:dyDescent="0.25">
      <c r="A200" s="226">
        <f>A196+0.01</f>
        <v>14.099999999999998</v>
      </c>
      <c r="B200" s="826" t="s">
        <v>936</v>
      </c>
      <c r="C200" s="771">
        <v>25</v>
      </c>
      <c r="D200" s="701" t="s">
        <v>934</v>
      </c>
      <c r="E200" s="702">
        <v>578</v>
      </c>
      <c r="F200" s="701">
        <f>E200*C200</f>
        <v>14450</v>
      </c>
    </row>
    <row r="201" spans="1:6" ht="15.6" x14ac:dyDescent="0.25">
      <c r="A201" s="226"/>
      <c r="B201" s="311"/>
      <c r="C201" s="771"/>
      <c r="D201" s="701"/>
      <c r="E201" s="702"/>
      <c r="F201" s="701"/>
    </row>
    <row r="202" spans="1:6" ht="73.8" customHeight="1" x14ac:dyDescent="0.25">
      <c r="A202" s="226">
        <f>A200+0.01</f>
        <v>14.109999999999998</v>
      </c>
      <c r="B202" s="826" t="s">
        <v>947</v>
      </c>
      <c r="C202" s="771">
        <v>6</v>
      </c>
      <c r="D202" s="701" t="s">
        <v>934</v>
      </c>
      <c r="E202" s="702">
        <v>636</v>
      </c>
      <c r="F202" s="701">
        <f>E202*C202</f>
        <v>3816</v>
      </c>
    </row>
    <row r="203" spans="1:6" ht="15.6" x14ac:dyDescent="0.25">
      <c r="A203" s="226"/>
      <c r="B203" s="772"/>
      <c r="C203" s="771"/>
      <c r="D203" s="701"/>
      <c r="E203" s="702"/>
      <c r="F203" s="701"/>
    </row>
    <row r="204" spans="1:6" x14ac:dyDescent="0.25">
      <c r="A204" s="335">
        <v>15</v>
      </c>
      <c r="B204" s="745" t="s">
        <v>586</v>
      </c>
      <c r="C204" s="700"/>
      <c r="D204" s="701"/>
      <c r="E204" s="702"/>
      <c r="F204" s="701"/>
    </row>
    <row r="205" spans="1:6" x14ac:dyDescent="0.25">
      <c r="A205" s="226"/>
      <c r="B205" s="303"/>
      <c r="C205" s="700"/>
      <c r="D205" s="701"/>
      <c r="E205" s="702"/>
      <c r="F205" s="701"/>
    </row>
    <row r="206" spans="1:6" x14ac:dyDescent="0.25">
      <c r="A206" s="226"/>
      <c r="B206" s="326" t="s">
        <v>76</v>
      </c>
      <c r="C206" s="700"/>
      <c r="D206" s="701"/>
      <c r="E206" s="702"/>
      <c r="F206" s="701"/>
    </row>
    <row r="207" spans="1:6" x14ac:dyDescent="0.25">
      <c r="A207" s="226"/>
      <c r="B207" s="745" t="s">
        <v>1018</v>
      </c>
      <c r="C207" s="700"/>
      <c r="D207" s="701"/>
      <c r="E207" s="702"/>
      <c r="F207" s="701"/>
    </row>
    <row r="208" spans="1:6" x14ac:dyDescent="0.25">
      <c r="A208" s="226"/>
      <c r="B208" s="303"/>
      <c r="C208" s="700"/>
      <c r="D208" s="701"/>
      <c r="E208" s="702"/>
      <c r="F208" s="701"/>
    </row>
    <row r="209" spans="1:6" ht="76.8" customHeight="1" x14ac:dyDescent="0.25">
      <c r="A209" s="226">
        <f>A204+0.01</f>
        <v>15.01</v>
      </c>
      <c r="B209" s="303" t="s">
        <v>1021</v>
      </c>
      <c r="C209" s="700">
        <v>5</v>
      </c>
      <c r="D209" s="701" t="s">
        <v>78</v>
      </c>
      <c r="E209" s="702">
        <v>5370</v>
      </c>
      <c r="F209" s="701">
        <f>E209*C209</f>
        <v>26850</v>
      </c>
    </row>
    <row r="210" spans="1:6" x14ac:dyDescent="0.25">
      <c r="A210" s="226"/>
      <c r="B210" s="303"/>
      <c r="C210" s="700"/>
      <c r="D210" s="701"/>
      <c r="E210" s="702"/>
      <c r="F210" s="701"/>
    </row>
    <row r="211" spans="1:6" x14ac:dyDescent="0.25">
      <c r="A211" s="226"/>
      <c r="B211" s="326" t="s">
        <v>855</v>
      </c>
      <c r="C211" s="700"/>
      <c r="D211" s="701"/>
      <c r="E211" s="702"/>
      <c r="F211" s="701"/>
    </row>
    <row r="212" spans="1:6" x14ac:dyDescent="0.25">
      <c r="A212" s="226"/>
      <c r="B212" s="326" t="s">
        <v>74</v>
      </c>
      <c r="C212" s="700"/>
      <c r="D212" s="701"/>
      <c r="E212" s="702"/>
      <c r="F212" s="701"/>
    </row>
    <row r="213" spans="1:6" ht="104.4" customHeight="1" x14ac:dyDescent="0.25">
      <c r="A213" s="226">
        <f>A209+0.01</f>
        <v>15.02</v>
      </c>
      <c r="B213" s="303" t="s">
        <v>1024</v>
      </c>
      <c r="C213" s="700">
        <v>3</v>
      </c>
      <c r="D213" s="701" t="s">
        <v>78</v>
      </c>
      <c r="E213" s="702">
        <v>4862</v>
      </c>
      <c r="F213" s="701">
        <f>E213*C213</f>
        <v>14586</v>
      </c>
    </row>
    <row r="214" spans="1:6" x14ac:dyDescent="0.25">
      <c r="A214" s="226"/>
      <c r="B214" s="303"/>
      <c r="C214" s="700"/>
      <c r="D214" s="701"/>
      <c r="E214" s="702"/>
      <c r="F214" s="701"/>
    </row>
    <row r="215" spans="1:6" x14ac:dyDescent="0.25">
      <c r="A215" s="226"/>
      <c r="B215" s="326" t="s">
        <v>1087</v>
      </c>
      <c r="C215" s="700"/>
      <c r="D215" s="701"/>
      <c r="E215" s="702"/>
      <c r="F215" s="701"/>
    </row>
    <row r="216" spans="1:6" ht="64.2" customHeight="1" x14ac:dyDescent="0.25">
      <c r="A216" s="226">
        <f>A213+0.01</f>
        <v>15.03</v>
      </c>
      <c r="B216" s="303" t="s">
        <v>1043</v>
      </c>
      <c r="C216" s="700">
        <v>3</v>
      </c>
      <c r="D216" s="701" t="s">
        <v>78</v>
      </c>
      <c r="E216" s="702">
        <v>1520</v>
      </c>
      <c r="F216" s="701">
        <f>E216*C216</f>
        <v>4560</v>
      </c>
    </row>
    <row r="217" spans="1:6" x14ac:dyDescent="0.25">
      <c r="A217" s="226"/>
      <c r="B217" s="303"/>
      <c r="C217" s="700"/>
      <c r="D217" s="701"/>
      <c r="E217" s="702"/>
      <c r="F217" s="701"/>
    </row>
    <row r="218" spans="1:6" ht="63" customHeight="1" x14ac:dyDescent="0.25">
      <c r="A218" s="226">
        <f>A216+0.01</f>
        <v>15.04</v>
      </c>
      <c r="B218" s="303" t="s">
        <v>1039</v>
      </c>
      <c r="C218" s="700">
        <v>7</v>
      </c>
      <c r="D218" s="701" t="s">
        <v>78</v>
      </c>
      <c r="E218" s="702">
        <v>2150</v>
      </c>
      <c r="F218" s="701">
        <f>E218*C218</f>
        <v>15050</v>
      </c>
    </row>
    <row r="219" spans="1:6" x14ac:dyDescent="0.25">
      <c r="A219" s="226"/>
      <c r="B219" s="303"/>
      <c r="C219" s="700"/>
      <c r="D219" s="701"/>
      <c r="E219" s="702"/>
      <c r="F219" s="701"/>
    </row>
    <row r="220" spans="1:6" x14ac:dyDescent="0.25">
      <c r="A220" s="226"/>
      <c r="B220" s="326" t="s">
        <v>106</v>
      </c>
      <c r="C220" s="700"/>
      <c r="D220" s="701"/>
      <c r="E220" s="702"/>
      <c r="F220" s="701"/>
    </row>
    <row r="221" spans="1:6" ht="77.400000000000006" customHeight="1" x14ac:dyDescent="0.25">
      <c r="A221" s="226">
        <f>A218+0.01</f>
        <v>15.049999999999999</v>
      </c>
      <c r="B221" s="303" t="s">
        <v>1088</v>
      </c>
      <c r="C221" s="700">
        <v>1</v>
      </c>
      <c r="D221" s="701" t="s">
        <v>1002</v>
      </c>
      <c r="E221" s="702">
        <v>1629</v>
      </c>
      <c r="F221" s="701">
        <f>E221*C221</f>
        <v>1629</v>
      </c>
    </row>
    <row r="222" spans="1:6" x14ac:dyDescent="0.25">
      <c r="A222" s="226"/>
      <c r="B222" s="303"/>
      <c r="C222" s="700"/>
      <c r="D222" s="701"/>
      <c r="E222" s="702"/>
      <c r="F222" s="701"/>
    </row>
    <row r="223" spans="1:6" x14ac:dyDescent="0.25">
      <c r="A223" s="708"/>
      <c r="B223" s="709"/>
      <c r="C223" s="782"/>
      <c r="D223" s="726"/>
      <c r="E223" s="776"/>
      <c r="F223" s="726"/>
    </row>
    <row r="224" spans="1:6" x14ac:dyDescent="0.25">
      <c r="A224" s="812">
        <v>16</v>
      </c>
      <c r="B224" s="810" t="s">
        <v>1096</v>
      </c>
      <c r="C224" s="811"/>
      <c r="D224" s="629"/>
      <c r="E224" s="778"/>
      <c r="F224" s="629"/>
    </row>
    <row r="225" spans="1:14" ht="76.2" customHeight="1" x14ac:dyDescent="0.25">
      <c r="A225" s="226">
        <f>A224+0.01</f>
        <v>16.010000000000002</v>
      </c>
      <c r="B225" s="303" t="s">
        <v>1115</v>
      </c>
      <c r="C225" s="700">
        <v>7</v>
      </c>
      <c r="D225" s="701" t="s">
        <v>981</v>
      </c>
      <c r="E225" s="702">
        <v>6500</v>
      </c>
      <c r="F225" s="701">
        <f>E225*C225</f>
        <v>45500</v>
      </c>
    </row>
    <row r="226" spans="1:14" x14ac:dyDescent="0.25">
      <c r="A226" s="226"/>
      <c r="B226" s="303"/>
      <c r="C226" s="700"/>
      <c r="D226" s="701"/>
      <c r="E226" s="702"/>
      <c r="F226" s="701"/>
    </row>
    <row r="227" spans="1:14" ht="124.2" x14ac:dyDescent="0.25">
      <c r="A227" s="226">
        <f>A225+0.01</f>
        <v>16.020000000000003</v>
      </c>
      <c r="B227" s="303" t="s">
        <v>1112</v>
      </c>
      <c r="C227" s="700">
        <v>1</v>
      </c>
      <c r="D227" s="701" t="s">
        <v>981</v>
      </c>
      <c r="E227" s="702">
        <v>49460</v>
      </c>
      <c r="F227" s="701">
        <f>E227*C227</f>
        <v>49460</v>
      </c>
      <c r="H227" s="24">
        <f>0.9*2.7</f>
        <v>2.4300000000000002</v>
      </c>
      <c r="K227" s="24">
        <f>2.7*0.9</f>
        <v>2.4300000000000002</v>
      </c>
      <c r="L227" s="24">
        <f>K227*10.76</f>
        <v>26.146800000000002</v>
      </c>
      <c r="M227" s="24">
        <f>E227/L227</f>
        <v>1891.6272737007969</v>
      </c>
      <c r="N227" s="24">
        <f>M227*L227</f>
        <v>49460</v>
      </c>
    </row>
    <row r="228" spans="1:14" x14ac:dyDescent="0.25">
      <c r="A228" s="226"/>
      <c r="B228" s="303"/>
      <c r="C228" s="700"/>
      <c r="D228" s="701"/>
      <c r="E228" s="702"/>
      <c r="F228" s="701"/>
    </row>
    <row r="229" spans="1:14" ht="124.2" x14ac:dyDescent="0.25">
      <c r="A229" s="226">
        <f>A227+0.01</f>
        <v>16.030000000000005</v>
      </c>
      <c r="B229" s="303" t="s">
        <v>1113</v>
      </c>
      <c r="C229" s="700">
        <v>2</v>
      </c>
      <c r="D229" s="701" t="s">
        <v>981</v>
      </c>
      <c r="E229" s="702">
        <v>36650</v>
      </c>
      <c r="F229" s="701">
        <f>E229*C229</f>
        <v>73300</v>
      </c>
      <c r="H229" s="24">
        <f>0.75*2.4</f>
        <v>1.7999999999999998</v>
      </c>
      <c r="I229" s="24">
        <f>E227/H227*H229</f>
        <v>36637.037037037029</v>
      </c>
    </row>
    <row r="230" spans="1:14" x14ac:dyDescent="0.25">
      <c r="A230" s="226"/>
      <c r="B230" s="303"/>
      <c r="C230" s="700"/>
      <c r="D230" s="701"/>
      <c r="E230" s="702"/>
      <c r="F230" s="701"/>
    </row>
    <row r="231" spans="1:14" ht="124.2" x14ac:dyDescent="0.25">
      <c r="A231" s="226">
        <f>A229+0.01</f>
        <v>16.040000000000006</v>
      </c>
      <c r="B231" s="303" t="s">
        <v>1114</v>
      </c>
      <c r="C231" s="700">
        <v>1</v>
      </c>
      <c r="D231" s="701" t="s">
        <v>981</v>
      </c>
      <c r="E231" s="702">
        <v>33560</v>
      </c>
      <c r="F231" s="701">
        <f>E231*C231</f>
        <v>33560</v>
      </c>
      <c r="H231" s="24">
        <f>2.1*0.75</f>
        <v>1.5750000000000002</v>
      </c>
      <c r="I231" s="24">
        <f>E229/H229*H231</f>
        <v>32068.750000000007</v>
      </c>
    </row>
    <row r="232" spans="1:14" x14ac:dyDescent="0.25">
      <c r="A232" s="226"/>
      <c r="B232" s="303"/>
      <c r="C232" s="700"/>
      <c r="D232" s="701"/>
      <c r="E232" s="702"/>
      <c r="F232" s="701"/>
    </row>
    <row r="233" spans="1:14" x14ac:dyDescent="0.25">
      <c r="A233" s="335">
        <v>17</v>
      </c>
      <c r="B233" s="326" t="s">
        <v>1174</v>
      </c>
      <c r="C233" s="700"/>
      <c r="D233" s="701"/>
      <c r="E233" s="702"/>
      <c r="F233" s="701"/>
    </row>
    <row r="234" spans="1:14" ht="76.2" customHeight="1" x14ac:dyDescent="0.25">
      <c r="A234" s="226">
        <f>A233+0.01</f>
        <v>17.010000000000002</v>
      </c>
      <c r="B234" s="303" t="s">
        <v>1204</v>
      </c>
      <c r="C234" s="700">
        <v>3.5</v>
      </c>
      <c r="D234" s="701" t="s">
        <v>129</v>
      </c>
      <c r="E234" s="702">
        <v>25500</v>
      </c>
      <c r="F234" s="701">
        <f>E234*C234</f>
        <v>89250</v>
      </c>
      <c r="J234" s="24">
        <f>30.15*10.76</f>
        <v>324.41399999999999</v>
      </c>
    </row>
    <row r="235" spans="1:14" ht="14.4" thickBot="1" x14ac:dyDescent="0.3">
      <c r="A235" s="650"/>
      <c r="B235" s="632"/>
      <c r="C235" s="633"/>
      <c r="D235" s="634"/>
      <c r="E235" s="641"/>
      <c r="F235" s="651"/>
      <c r="J235" s="24">
        <f>J234/100</f>
        <v>3.2441399999999998</v>
      </c>
    </row>
    <row r="236" spans="1:14" s="12" customFormat="1" ht="32.4" customHeight="1" x14ac:dyDescent="0.25">
      <c r="A236" s="692"/>
      <c r="B236" s="693" t="s">
        <v>1095</v>
      </c>
      <c r="C236" s="694"/>
      <c r="D236" s="695"/>
      <c r="E236" s="696"/>
      <c r="F236" s="697"/>
      <c r="H236" s="12">
        <f>F236/2</f>
        <v>0</v>
      </c>
    </row>
    <row r="238" spans="1:14" x14ac:dyDescent="0.25">
      <c r="H238" s="24">
        <f>16*10.76</f>
        <v>172.16</v>
      </c>
      <c r="L238" s="24" t="e">
        <f>#REF!*1.1</f>
        <v>#REF!</v>
      </c>
      <c r="M238" s="24">
        <v>165000</v>
      </c>
    </row>
    <row r="239" spans="1:14" x14ac:dyDescent="0.25">
      <c r="H239" s="24">
        <f>F236/H238</f>
        <v>0</v>
      </c>
    </row>
    <row r="243" spans="13:15" x14ac:dyDescent="0.25">
      <c r="M243" s="24">
        <f>SUM(M237:M242)</f>
        <v>165000</v>
      </c>
    </row>
    <row r="247" spans="13:15" x14ac:dyDescent="0.25">
      <c r="M247" s="24">
        <f>M243*1.1</f>
        <v>181500.00000000003</v>
      </c>
      <c r="O247" s="24">
        <f>M247-M243</f>
        <v>16500.000000000029</v>
      </c>
    </row>
    <row r="248" spans="13:15" x14ac:dyDescent="0.25">
      <c r="O248" s="24" t="e">
        <f>#REF!-M243</f>
        <v>#REF!</v>
      </c>
    </row>
  </sheetData>
  <pageMargins left="0.5" right="0.5" top="0.25" bottom="0.25" header="0.5" footer="0.5"/>
  <pageSetup orientation="portrait" r:id="rId1"/>
  <headerFooter alignWithMargins="0">
    <oddFooter>&amp;C&amp;P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B138"/>
  <sheetViews>
    <sheetView view="pageBreakPreview" zoomScale="98" zoomScaleNormal="100" zoomScaleSheetLayoutView="98" workbookViewId="0">
      <selection activeCell="N11" sqref="N11:N13"/>
    </sheetView>
  </sheetViews>
  <sheetFormatPr defaultRowHeight="13.8" x14ac:dyDescent="0.25"/>
  <cols>
    <col min="1" max="1" width="5.6640625" style="1185" customWidth="1"/>
    <col min="2" max="2" width="48.33203125" style="1186" customWidth="1"/>
    <col min="3" max="3" width="6.5546875" style="1187" bestFit="1" customWidth="1"/>
    <col min="4" max="4" width="6.44140625" style="1188" bestFit="1" customWidth="1"/>
    <col min="5" max="5" width="10.44140625" style="1189" bestFit="1" customWidth="1"/>
    <col min="6" max="6" width="11.88671875" style="1190" bestFit="1" customWidth="1"/>
    <col min="7" max="7" width="9.109375" style="1065" customWidth="1"/>
    <col min="8" max="8" width="14.33203125" style="1065" customWidth="1"/>
    <col min="9" max="9" width="9.109375" style="1065" customWidth="1"/>
    <col min="10" max="10" width="10.44140625" style="1065" customWidth="1"/>
    <col min="11" max="25" width="9.109375" style="1065" customWidth="1"/>
    <col min="26" max="255" width="8.88671875" style="1065"/>
    <col min="256" max="256" width="3" style="1065" customWidth="1"/>
    <col min="257" max="257" width="4.33203125" style="1065" customWidth="1"/>
    <col min="258" max="258" width="39.44140625" style="1065" customWidth="1"/>
    <col min="259" max="259" width="8.88671875" style="1065" customWidth="1"/>
    <col min="260" max="260" width="10.44140625" style="1065" customWidth="1"/>
    <col min="261" max="261" width="12.33203125" style="1065" customWidth="1"/>
    <col min="262" max="262" width="14.88671875" style="1065" customWidth="1"/>
    <col min="263" max="263" width="9.109375" style="1065" customWidth="1"/>
    <col min="264" max="264" width="14.33203125" style="1065" customWidth="1"/>
    <col min="265" max="265" width="9.109375" style="1065" customWidth="1"/>
    <col min="266" max="266" width="10.44140625" style="1065" customWidth="1"/>
    <col min="267" max="281" width="9.109375" style="1065" customWidth="1"/>
    <col min="282" max="511" width="8.88671875" style="1065"/>
    <col min="512" max="512" width="3" style="1065" customWidth="1"/>
    <col min="513" max="513" width="4.33203125" style="1065" customWidth="1"/>
    <col min="514" max="514" width="39.44140625" style="1065" customWidth="1"/>
    <col min="515" max="515" width="8.88671875" style="1065" customWidth="1"/>
    <col min="516" max="516" width="10.44140625" style="1065" customWidth="1"/>
    <col min="517" max="517" width="12.33203125" style="1065" customWidth="1"/>
    <col min="518" max="518" width="14.88671875" style="1065" customWidth="1"/>
    <col min="519" max="519" width="9.109375" style="1065" customWidth="1"/>
    <col min="520" max="520" width="14.33203125" style="1065" customWidth="1"/>
    <col min="521" max="521" width="9.109375" style="1065" customWidth="1"/>
    <col min="522" max="522" width="10.44140625" style="1065" customWidth="1"/>
    <col min="523" max="537" width="9.109375" style="1065" customWidth="1"/>
    <col min="538" max="767" width="8.88671875" style="1065"/>
    <col min="768" max="768" width="3" style="1065" customWidth="1"/>
    <col min="769" max="769" width="4.33203125" style="1065" customWidth="1"/>
    <col min="770" max="770" width="39.44140625" style="1065" customWidth="1"/>
    <col min="771" max="771" width="8.88671875" style="1065" customWidth="1"/>
    <col min="772" max="772" width="10.44140625" style="1065" customWidth="1"/>
    <col min="773" max="773" width="12.33203125" style="1065" customWidth="1"/>
    <col min="774" max="774" width="14.88671875" style="1065" customWidth="1"/>
    <col min="775" max="775" width="9.109375" style="1065" customWidth="1"/>
    <col min="776" max="776" width="14.33203125" style="1065" customWidth="1"/>
    <col min="777" max="777" width="9.109375" style="1065" customWidth="1"/>
    <col min="778" max="778" width="10.44140625" style="1065" customWidth="1"/>
    <col min="779" max="793" width="9.109375" style="1065" customWidth="1"/>
    <col min="794" max="1023" width="8.88671875" style="1065"/>
    <col min="1024" max="1024" width="3" style="1065" customWidth="1"/>
    <col min="1025" max="1025" width="4.33203125" style="1065" customWidth="1"/>
    <col min="1026" max="1026" width="39.44140625" style="1065" customWidth="1"/>
    <col min="1027" max="1027" width="8.88671875" style="1065" customWidth="1"/>
    <col min="1028" max="1028" width="10.44140625" style="1065" customWidth="1"/>
    <col min="1029" max="1029" width="12.33203125" style="1065" customWidth="1"/>
    <col min="1030" max="1030" width="14.88671875" style="1065" customWidth="1"/>
    <col min="1031" max="1031" width="9.109375" style="1065" customWidth="1"/>
    <col min="1032" max="1032" width="14.33203125" style="1065" customWidth="1"/>
    <col min="1033" max="1033" width="9.109375" style="1065" customWidth="1"/>
    <col min="1034" max="1034" width="10.44140625" style="1065" customWidth="1"/>
    <col min="1035" max="1049" width="9.109375" style="1065" customWidth="1"/>
    <col min="1050" max="1279" width="8.88671875" style="1065"/>
    <col min="1280" max="1280" width="3" style="1065" customWidth="1"/>
    <col min="1281" max="1281" width="4.33203125" style="1065" customWidth="1"/>
    <col min="1282" max="1282" width="39.44140625" style="1065" customWidth="1"/>
    <col min="1283" max="1283" width="8.88671875" style="1065" customWidth="1"/>
    <col min="1284" max="1284" width="10.44140625" style="1065" customWidth="1"/>
    <col min="1285" max="1285" width="12.33203125" style="1065" customWidth="1"/>
    <col min="1286" max="1286" width="14.88671875" style="1065" customWidth="1"/>
    <col min="1287" max="1287" width="9.109375" style="1065" customWidth="1"/>
    <col min="1288" max="1288" width="14.33203125" style="1065" customWidth="1"/>
    <col min="1289" max="1289" width="9.109375" style="1065" customWidth="1"/>
    <col min="1290" max="1290" width="10.44140625" style="1065" customWidth="1"/>
    <col min="1291" max="1305" width="9.109375" style="1065" customWidth="1"/>
    <col min="1306" max="1535" width="8.88671875" style="1065"/>
    <col min="1536" max="1536" width="3" style="1065" customWidth="1"/>
    <col min="1537" max="1537" width="4.33203125" style="1065" customWidth="1"/>
    <col min="1538" max="1538" width="39.44140625" style="1065" customWidth="1"/>
    <col min="1539" max="1539" width="8.88671875" style="1065" customWidth="1"/>
    <col min="1540" max="1540" width="10.44140625" style="1065" customWidth="1"/>
    <col min="1541" max="1541" width="12.33203125" style="1065" customWidth="1"/>
    <col min="1542" max="1542" width="14.88671875" style="1065" customWidth="1"/>
    <col min="1543" max="1543" width="9.109375" style="1065" customWidth="1"/>
    <col min="1544" max="1544" width="14.33203125" style="1065" customWidth="1"/>
    <col min="1545" max="1545" width="9.109375" style="1065" customWidth="1"/>
    <col min="1546" max="1546" width="10.44140625" style="1065" customWidth="1"/>
    <col min="1547" max="1561" width="9.109375" style="1065" customWidth="1"/>
    <col min="1562" max="1791" width="8.88671875" style="1065"/>
    <col min="1792" max="1792" width="3" style="1065" customWidth="1"/>
    <col min="1793" max="1793" width="4.33203125" style="1065" customWidth="1"/>
    <col min="1794" max="1794" width="39.44140625" style="1065" customWidth="1"/>
    <col min="1795" max="1795" width="8.88671875" style="1065" customWidth="1"/>
    <col min="1796" max="1796" width="10.44140625" style="1065" customWidth="1"/>
    <col min="1797" max="1797" width="12.33203125" style="1065" customWidth="1"/>
    <col min="1798" max="1798" width="14.88671875" style="1065" customWidth="1"/>
    <col min="1799" max="1799" width="9.109375" style="1065" customWidth="1"/>
    <col min="1800" max="1800" width="14.33203125" style="1065" customWidth="1"/>
    <col min="1801" max="1801" width="9.109375" style="1065" customWidth="1"/>
    <col min="1802" max="1802" width="10.44140625" style="1065" customWidth="1"/>
    <col min="1803" max="1817" width="9.109375" style="1065" customWidth="1"/>
    <col min="1818" max="2047" width="8.88671875" style="1065"/>
    <col min="2048" max="2048" width="3" style="1065" customWidth="1"/>
    <col min="2049" max="2049" width="4.33203125" style="1065" customWidth="1"/>
    <col min="2050" max="2050" width="39.44140625" style="1065" customWidth="1"/>
    <col min="2051" max="2051" width="8.88671875" style="1065" customWidth="1"/>
    <col min="2052" max="2052" width="10.44140625" style="1065" customWidth="1"/>
    <col min="2053" max="2053" width="12.33203125" style="1065" customWidth="1"/>
    <col min="2054" max="2054" width="14.88671875" style="1065" customWidth="1"/>
    <col min="2055" max="2055" width="9.109375" style="1065" customWidth="1"/>
    <col min="2056" max="2056" width="14.33203125" style="1065" customWidth="1"/>
    <col min="2057" max="2057" width="9.109375" style="1065" customWidth="1"/>
    <col min="2058" max="2058" width="10.44140625" style="1065" customWidth="1"/>
    <col min="2059" max="2073" width="9.109375" style="1065" customWidth="1"/>
    <col min="2074" max="2303" width="8.88671875" style="1065"/>
    <col min="2304" max="2304" width="3" style="1065" customWidth="1"/>
    <col min="2305" max="2305" width="4.33203125" style="1065" customWidth="1"/>
    <col min="2306" max="2306" width="39.44140625" style="1065" customWidth="1"/>
    <col min="2307" max="2307" width="8.88671875" style="1065" customWidth="1"/>
    <col min="2308" max="2308" width="10.44140625" style="1065" customWidth="1"/>
    <col min="2309" max="2309" width="12.33203125" style="1065" customWidth="1"/>
    <col min="2310" max="2310" width="14.88671875" style="1065" customWidth="1"/>
    <col min="2311" max="2311" width="9.109375" style="1065" customWidth="1"/>
    <col min="2312" max="2312" width="14.33203125" style="1065" customWidth="1"/>
    <col min="2313" max="2313" width="9.109375" style="1065" customWidth="1"/>
    <col min="2314" max="2314" width="10.44140625" style="1065" customWidth="1"/>
    <col min="2315" max="2329" width="9.109375" style="1065" customWidth="1"/>
    <col min="2330" max="2559" width="8.88671875" style="1065"/>
    <col min="2560" max="2560" width="3" style="1065" customWidth="1"/>
    <col min="2561" max="2561" width="4.33203125" style="1065" customWidth="1"/>
    <col min="2562" max="2562" width="39.44140625" style="1065" customWidth="1"/>
    <col min="2563" max="2563" width="8.88671875" style="1065" customWidth="1"/>
    <col min="2564" max="2564" width="10.44140625" style="1065" customWidth="1"/>
    <col min="2565" max="2565" width="12.33203125" style="1065" customWidth="1"/>
    <col min="2566" max="2566" width="14.88671875" style="1065" customWidth="1"/>
    <col min="2567" max="2567" width="9.109375" style="1065" customWidth="1"/>
    <col min="2568" max="2568" width="14.33203125" style="1065" customWidth="1"/>
    <col min="2569" max="2569" width="9.109375" style="1065" customWidth="1"/>
    <col min="2570" max="2570" width="10.44140625" style="1065" customWidth="1"/>
    <col min="2571" max="2585" width="9.109375" style="1065" customWidth="1"/>
    <col min="2586" max="2815" width="8.88671875" style="1065"/>
    <col min="2816" max="2816" width="3" style="1065" customWidth="1"/>
    <col min="2817" max="2817" width="4.33203125" style="1065" customWidth="1"/>
    <col min="2818" max="2818" width="39.44140625" style="1065" customWidth="1"/>
    <col min="2819" max="2819" width="8.88671875" style="1065" customWidth="1"/>
    <col min="2820" max="2820" width="10.44140625" style="1065" customWidth="1"/>
    <col min="2821" max="2821" width="12.33203125" style="1065" customWidth="1"/>
    <col min="2822" max="2822" width="14.88671875" style="1065" customWidth="1"/>
    <col min="2823" max="2823" width="9.109375" style="1065" customWidth="1"/>
    <col min="2824" max="2824" width="14.33203125" style="1065" customWidth="1"/>
    <col min="2825" max="2825" width="9.109375" style="1065" customWidth="1"/>
    <col min="2826" max="2826" width="10.44140625" style="1065" customWidth="1"/>
    <col min="2827" max="2841" width="9.109375" style="1065" customWidth="1"/>
    <col min="2842" max="3071" width="8.88671875" style="1065"/>
    <col min="3072" max="3072" width="3" style="1065" customWidth="1"/>
    <col min="3073" max="3073" width="4.33203125" style="1065" customWidth="1"/>
    <col min="3074" max="3074" width="39.44140625" style="1065" customWidth="1"/>
    <col min="3075" max="3075" width="8.88671875" style="1065" customWidth="1"/>
    <col min="3076" max="3076" width="10.44140625" style="1065" customWidth="1"/>
    <col min="3077" max="3077" width="12.33203125" style="1065" customWidth="1"/>
    <col min="3078" max="3078" width="14.88671875" style="1065" customWidth="1"/>
    <col min="3079" max="3079" width="9.109375" style="1065" customWidth="1"/>
    <col min="3080" max="3080" width="14.33203125" style="1065" customWidth="1"/>
    <col min="3081" max="3081" width="9.109375" style="1065" customWidth="1"/>
    <col min="3082" max="3082" width="10.44140625" style="1065" customWidth="1"/>
    <col min="3083" max="3097" width="9.109375" style="1065" customWidth="1"/>
    <col min="3098" max="3327" width="8.88671875" style="1065"/>
    <col min="3328" max="3328" width="3" style="1065" customWidth="1"/>
    <col min="3329" max="3329" width="4.33203125" style="1065" customWidth="1"/>
    <col min="3330" max="3330" width="39.44140625" style="1065" customWidth="1"/>
    <col min="3331" max="3331" width="8.88671875" style="1065" customWidth="1"/>
    <col min="3332" max="3332" width="10.44140625" style="1065" customWidth="1"/>
    <col min="3333" max="3333" width="12.33203125" style="1065" customWidth="1"/>
    <col min="3334" max="3334" width="14.88671875" style="1065" customWidth="1"/>
    <col min="3335" max="3335" width="9.109375" style="1065" customWidth="1"/>
    <col min="3336" max="3336" width="14.33203125" style="1065" customWidth="1"/>
    <col min="3337" max="3337" width="9.109375" style="1065" customWidth="1"/>
    <col min="3338" max="3338" width="10.44140625" style="1065" customWidth="1"/>
    <col min="3339" max="3353" width="9.109375" style="1065" customWidth="1"/>
    <col min="3354" max="3583" width="8.88671875" style="1065"/>
    <col min="3584" max="3584" width="3" style="1065" customWidth="1"/>
    <col min="3585" max="3585" width="4.33203125" style="1065" customWidth="1"/>
    <col min="3586" max="3586" width="39.44140625" style="1065" customWidth="1"/>
    <col min="3587" max="3587" width="8.88671875" style="1065" customWidth="1"/>
    <col min="3588" max="3588" width="10.44140625" style="1065" customWidth="1"/>
    <col min="3589" max="3589" width="12.33203125" style="1065" customWidth="1"/>
    <col min="3590" max="3590" width="14.88671875" style="1065" customWidth="1"/>
    <col min="3591" max="3591" width="9.109375" style="1065" customWidth="1"/>
    <col min="3592" max="3592" width="14.33203125" style="1065" customWidth="1"/>
    <col min="3593" max="3593" width="9.109375" style="1065" customWidth="1"/>
    <col min="3594" max="3594" width="10.44140625" style="1065" customWidth="1"/>
    <col min="3595" max="3609" width="9.109375" style="1065" customWidth="1"/>
    <col min="3610" max="3839" width="8.88671875" style="1065"/>
    <col min="3840" max="3840" width="3" style="1065" customWidth="1"/>
    <col min="3841" max="3841" width="4.33203125" style="1065" customWidth="1"/>
    <col min="3842" max="3842" width="39.44140625" style="1065" customWidth="1"/>
    <col min="3843" max="3843" width="8.88671875" style="1065" customWidth="1"/>
    <col min="3844" max="3844" width="10.44140625" style="1065" customWidth="1"/>
    <col min="3845" max="3845" width="12.33203125" style="1065" customWidth="1"/>
    <col min="3846" max="3846" width="14.88671875" style="1065" customWidth="1"/>
    <col min="3847" max="3847" width="9.109375" style="1065" customWidth="1"/>
    <col min="3848" max="3848" width="14.33203125" style="1065" customWidth="1"/>
    <col min="3849" max="3849" width="9.109375" style="1065" customWidth="1"/>
    <col min="3850" max="3850" width="10.44140625" style="1065" customWidth="1"/>
    <col min="3851" max="3865" width="9.109375" style="1065" customWidth="1"/>
    <col min="3866" max="4095" width="8.88671875" style="1065"/>
    <col min="4096" max="4096" width="3" style="1065" customWidth="1"/>
    <col min="4097" max="4097" width="4.33203125" style="1065" customWidth="1"/>
    <col min="4098" max="4098" width="39.44140625" style="1065" customWidth="1"/>
    <col min="4099" max="4099" width="8.88671875" style="1065" customWidth="1"/>
    <col min="4100" max="4100" width="10.44140625" style="1065" customWidth="1"/>
    <col min="4101" max="4101" width="12.33203125" style="1065" customWidth="1"/>
    <col min="4102" max="4102" width="14.88671875" style="1065" customWidth="1"/>
    <col min="4103" max="4103" width="9.109375" style="1065" customWidth="1"/>
    <col min="4104" max="4104" width="14.33203125" style="1065" customWidth="1"/>
    <col min="4105" max="4105" width="9.109375" style="1065" customWidth="1"/>
    <col min="4106" max="4106" width="10.44140625" style="1065" customWidth="1"/>
    <col min="4107" max="4121" width="9.109375" style="1065" customWidth="1"/>
    <col min="4122" max="4351" width="8.88671875" style="1065"/>
    <col min="4352" max="4352" width="3" style="1065" customWidth="1"/>
    <col min="4353" max="4353" width="4.33203125" style="1065" customWidth="1"/>
    <col min="4354" max="4354" width="39.44140625" style="1065" customWidth="1"/>
    <col min="4355" max="4355" width="8.88671875" style="1065" customWidth="1"/>
    <col min="4356" max="4356" width="10.44140625" style="1065" customWidth="1"/>
    <col min="4357" max="4357" width="12.33203125" style="1065" customWidth="1"/>
    <col min="4358" max="4358" width="14.88671875" style="1065" customWidth="1"/>
    <col min="4359" max="4359" width="9.109375" style="1065" customWidth="1"/>
    <col min="4360" max="4360" width="14.33203125" style="1065" customWidth="1"/>
    <col min="4361" max="4361" width="9.109375" style="1065" customWidth="1"/>
    <col min="4362" max="4362" width="10.44140625" style="1065" customWidth="1"/>
    <col min="4363" max="4377" width="9.109375" style="1065" customWidth="1"/>
    <col min="4378" max="4607" width="8.88671875" style="1065"/>
    <col min="4608" max="4608" width="3" style="1065" customWidth="1"/>
    <col min="4609" max="4609" width="4.33203125" style="1065" customWidth="1"/>
    <col min="4610" max="4610" width="39.44140625" style="1065" customWidth="1"/>
    <col min="4611" max="4611" width="8.88671875" style="1065" customWidth="1"/>
    <col min="4612" max="4612" width="10.44140625" style="1065" customWidth="1"/>
    <col min="4613" max="4613" width="12.33203125" style="1065" customWidth="1"/>
    <col min="4614" max="4614" width="14.88671875" style="1065" customWidth="1"/>
    <col min="4615" max="4615" width="9.109375" style="1065" customWidth="1"/>
    <col min="4616" max="4616" width="14.33203125" style="1065" customWidth="1"/>
    <col min="4617" max="4617" width="9.109375" style="1065" customWidth="1"/>
    <col min="4618" max="4618" width="10.44140625" style="1065" customWidth="1"/>
    <col min="4619" max="4633" width="9.109375" style="1065" customWidth="1"/>
    <col min="4634" max="4863" width="8.88671875" style="1065"/>
    <col min="4864" max="4864" width="3" style="1065" customWidth="1"/>
    <col min="4865" max="4865" width="4.33203125" style="1065" customWidth="1"/>
    <col min="4866" max="4866" width="39.44140625" style="1065" customWidth="1"/>
    <col min="4867" max="4867" width="8.88671875" style="1065" customWidth="1"/>
    <col min="4868" max="4868" width="10.44140625" style="1065" customWidth="1"/>
    <col min="4869" max="4869" width="12.33203125" style="1065" customWidth="1"/>
    <col min="4870" max="4870" width="14.88671875" style="1065" customWidth="1"/>
    <col min="4871" max="4871" width="9.109375" style="1065" customWidth="1"/>
    <col min="4872" max="4872" width="14.33203125" style="1065" customWidth="1"/>
    <col min="4873" max="4873" width="9.109375" style="1065" customWidth="1"/>
    <col min="4874" max="4874" width="10.44140625" style="1065" customWidth="1"/>
    <col min="4875" max="4889" width="9.109375" style="1065" customWidth="1"/>
    <col min="4890" max="5119" width="8.88671875" style="1065"/>
    <col min="5120" max="5120" width="3" style="1065" customWidth="1"/>
    <col min="5121" max="5121" width="4.33203125" style="1065" customWidth="1"/>
    <col min="5122" max="5122" width="39.44140625" style="1065" customWidth="1"/>
    <col min="5123" max="5123" width="8.88671875" style="1065" customWidth="1"/>
    <col min="5124" max="5124" width="10.44140625" style="1065" customWidth="1"/>
    <col min="5125" max="5125" width="12.33203125" style="1065" customWidth="1"/>
    <col min="5126" max="5126" width="14.88671875" style="1065" customWidth="1"/>
    <col min="5127" max="5127" width="9.109375" style="1065" customWidth="1"/>
    <col min="5128" max="5128" width="14.33203125" style="1065" customWidth="1"/>
    <col min="5129" max="5129" width="9.109375" style="1065" customWidth="1"/>
    <col min="5130" max="5130" width="10.44140625" style="1065" customWidth="1"/>
    <col min="5131" max="5145" width="9.109375" style="1065" customWidth="1"/>
    <col min="5146" max="5375" width="8.88671875" style="1065"/>
    <col min="5376" max="5376" width="3" style="1065" customWidth="1"/>
    <col min="5377" max="5377" width="4.33203125" style="1065" customWidth="1"/>
    <col min="5378" max="5378" width="39.44140625" style="1065" customWidth="1"/>
    <col min="5379" max="5379" width="8.88671875" style="1065" customWidth="1"/>
    <col min="5380" max="5380" width="10.44140625" style="1065" customWidth="1"/>
    <col min="5381" max="5381" width="12.33203125" style="1065" customWidth="1"/>
    <col min="5382" max="5382" width="14.88671875" style="1065" customWidth="1"/>
    <col min="5383" max="5383" width="9.109375" style="1065" customWidth="1"/>
    <col min="5384" max="5384" width="14.33203125" style="1065" customWidth="1"/>
    <col min="5385" max="5385" width="9.109375" style="1065" customWidth="1"/>
    <col min="5386" max="5386" width="10.44140625" style="1065" customWidth="1"/>
    <col min="5387" max="5401" width="9.109375" style="1065" customWidth="1"/>
    <col min="5402" max="5631" width="8.88671875" style="1065"/>
    <col min="5632" max="5632" width="3" style="1065" customWidth="1"/>
    <col min="5633" max="5633" width="4.33203125" style="1065" customWidth="1"/>
    <col min="5634" max="5634" width="39.44140625" style="1065" customWidth="1"/>
    <col min="5635" max="5635" width="8.88671875" style="1065" customWidth="1"/>
    <col min="5636" max="5636" width="10.44140625" style="1065" customWidth="1"/>
    <col min="5637" max="5637" width="12.33203125" style="1065" customWidth="1"/>
    <col min="5638" max="5638" width="14.88671875" style="1065" customWidth="1"/>
    <col min="5639" max="5639" width="9.109375" style="1065" customWidth="1"/>
    <col min="5640" max="5640" width="14.33203125" style="1065" customWidth="1"/>
    <col min="5641" max="5641" width="9.109375" style="1065" customWidth="1"/>
    <col min="5642" max="5642" width="10.44140625" style="1065" customWidth="1"/>
    <col min="5643" max="5657" width="9.109375" style="1065" customWidth="1"/>
    <col min="5658" max="5887" width="8.88671875" style="1065"/>
    <col min="5888" max="5888" width="3" style="1065" customWidth="1"/>
    <col min="5889" max="5889" width="4.33203125" style="1065" customWidth="1"/>
    <col min="5890" max="5890" width="39.44140625" style="1065" customWidth="1"/>
    <col min="5891" max="5891" width="8.88671875" style="1065" customWidth="1"/>
    <col min="5892" max="5892" width="10.44140625" style="1065" customWidth="1"/>
    <col min="5893" max="5893" width="12.33203125" style="1065" customWidth="1"/>
    <col min="5894" max="5894" width="14.88671875" style="1065" customWidth="1"/>
    <col min="5895" max="5895" width="9.109375" style="1065" customWidth="1"/>
    <col min="5896" max="5896" width="14.33203125" style="1065" customWidth="1"/>
    <col min="5897" max="5897" width="9.109375" style="1065" customWidth="1"/>
    <col min="5898" max="5898" width="10.44140625" style="1065" customWidth="1"/>
    <col min="5899" max="5913" width="9.109375" style="1065" customWidth="1"/>
    <col min="5914" max="6143" width="8.88671875" style="1065"/>
    <col min="6144" max="6144" width="3" style="1065" customWidth="1"/>
    <col min="6145" max="6145" width="4.33203125" style="1065" customWidth="1"/>
    <col min="6146" max="6146" width="39.44140625" style="1065" customWidth="1"/>
    <col min="6147" max="6147" width="8.88671875" style="1065" customWidth="1"/>
    <col min="6148" max="6148" width="10.44140625" style="1065" customWidth="1"/>
    <col min="6149" max="6149" width="12.33203125" style="1065" customWidth="1"/>
    <col min="6150" max="6150" width="14.88671875" style="1065" customWidth="1"/>
    <col min="6151" max="6151" width="9.109375" style="1065" customWidth="1"/>
    <col min="6152" max="6152" width="14.33203125" style="1065" customWidth="1"/>
    <col min="6153" max="6153" width="9.109375" style="1065" customWidth="1"/>
    <col min="6154" max="6154" width="10.44140625" style="1065" customWidth="1"/>
    <col min="6155" max="6169" width="9.109375" style="1065" customWidth="1"/>
    <col min="6170" max="6399" width="8.88671875" style="1065"/>
    <col min="6400" max="6400" width="3" style="1065" customWidth="1"/>
    <col min="6401" max="6401" width="4.33203125" style="1065" customWidth="1"/>
    <col min="6402" max="6402" width="39.44140625" style="1065" customWidth="1"/>
    <col min="6403" max="6403" width="8.88671875" style="1065" customWidth="1"/>
    <col min="6404" max="6404" width="10.44140625" style="1065" customWidth="1"/>
    <col min="6405" max="6405" width="12.33203125" style="1065" customWidth="1"/>
    <col min="6406" max="6406" width="14.88671875" style="1065" customWidth="1"/>
    <col min="6407" max="6407" width="9.109375" style="1065" customWidth="1"/>
    <col min="6408" max="6408" width="14.33203125" style="1065" customWidth="1"/>
    <col min="6409" max="6409" width="9.109375" style="1065" customWidth="1"/>
    <col min="6410" max="6410" width="10.44140625" style="1065" customWidth="1"/>
    <col min="6411" max="6425" width="9.109375" style="1065" customWidth="1"/>
    <col min="6426" max="6655" width="8.88671875" style="1065"/>
    <col min="6656" max="6656" width="3" style="1065" customWidth="1"/>
    <col min="6657" max="6657" width="4.33203125" style="1065" customWidth="1"/>
    <col min="6658" max="6658" width="39.44140625" style="1065" customWidth="1"/>
    <col min="6659" max="6659" width="8.88671875" style="1065" customWidth="1"/>
    <col min="6660" max="6660" width="10.44140625" style="1065" customWidth="1"/>
    <col min="6661" max="6661" width="12.33203125" style="1065" customWidth="1"/>
    <col min="6662" max="6662" width="14.88671875" style="1065" customWidth="1"/>
    <col min="6663" max="6663" width="9.109375" style="1065" customWidth="1"/>
    <col min="6664" max="6664" width="14.33203125" style="1065" customWidth="1"/>
    <col min="6665" max="6665" width="9.109375" style="1065" customWidth="1"/>
    <col min="6666" max="6666" width="10.44140625" style="1065" customWidth="1"/>
    <col min="6667" max="6681" width="9.109375" style="1065" customWidth="1"/>
    <col min="6682" max="6911" width="8.88671875" style="1065"/>
    <col min="6912" max="6912" width="3" style="1065" customWidth="1"/>
    <col min="6913" max="6913" width="4.33203125" style="1065" customWidth="1"/>
    <col min="6914" max="6914" width="39.44140625" style="1065" customWidth="1"/>
    <col min="6915" max="6915" width="8.88671875" style="1065" customWidth="1"/>
    <col min="6916" max="6916" width="10.44140625" style="1065" customWidth="1"/>
    <col min="6917" max="6917" width="12.33203125" style="1065" customWidth="1"/>
    <col min="6918" max="6918" width="14.88671875" style="1065" customWidth="1"/>
    <col min="6919" max="6919" width="9.109375" style="1065" customWidth="1"/>
    <col min="6920" max="6920" width="14.33203125" style="1065" customWidth="1"/>
    <col min="6921" max="6921" width="9.109375" style="1065" customWidth="1"/>
    <col min="6922" max="6922" width="10.44140625" style="1065" customWidth="1"/>
    <col min="6923" max="6937" width="9.109375" style="1065" customWidth="1"/>
    <col min="6938" max="7167" width="8.88671875" style="1065"/>
    <col min="7168" max="7168" width="3" style="1065" customWidth="1"/>
    <col min="7169" max="7169" width="4.33203125" style="1065" customWidth="1"/>
    <col min="7170" max="7170" width="39.44140625" style="1065" customWidth="1"/>
    <col min="7171" max="7171" width="8.88671875" style="1065" customWidth="1"/>
    <col min="7172" max="7172" width="10.44140625" style="1065" customWidth="1"/>
    <col min="7173" max="7173" width="12.33203125" style="1065" customWidth="1"/>
    <col min="7174" max="7174" width="14.88671875" style="1065" customWidth="1"/>
    <col min="7175" max="7175" width="9.109375" style="1065" customWidth="1"/>
    <col min="7176" max="7176" width="14.33203125" style="1065" customWidth="1"/>
    <col min="7177" max="7177" width="9.109375" style="1065" customWidth="1"/>
    <col min="7178" max="7178" width="10.44140625" style="1065" customWidth="1"/>
    <col min="7179" max="7193" width="9.109375" style="1065" customWidth="1"/>
    <col min="7194" max="7423" width="8.88671875" style="1065"/>
    <col min="7424" max="7424" width="3" style="1065" customWidth="1"/>
    <col min="7425" max="7425" width="4.33203125" style="1065" customWidth="1"/>
    <col min="7426" max="7426" width="39.44140625" style="1065" customWidth="1"/>
    <col min="7427" max="7427" width="8.88671875" style="1065" customWidth="1"/>
    <col min="7428" max="7428" width="10.44140625" style="1065" customWidth="1"/>
    <col min="7429" max="7429" width="12.33203125" style="1065" customWidth="1"/>
    <col min="7430" max="7430" width="14.88671875" style="1065" customWidth="1"/>
    <col min="7431" max="7431" width="9.109375" style="1065" customWidth="1"/>
    <col min="7432" max="7432" width="14.33203125" style="1065" customWidth="1"/>
    <col min="7433" max="7433" width="9.109375" style="1065" customWidth="1"/>
    <col min="7434" max="7434" width="10.44140625" style="1065" customWidth="1"/>
    <col min="7435" max="7449" width="9.109375" style="1065" customWidth="1"/>
    <col min="7450" max="7679" width="8.88671875" style="1065"/>
    <col min="7680" max="7680" width="3" style="1065" customWidth="1"/>
    <col min="7681" max="7681" width="4.33203125" style="1065" customWidth="1"/>
    <col min="7682" max="7682" width="39.44140625" style="1065" customWidth="1"/>
    <col min="7683" max="7683" width="8.88671875" style="1065" customWidth="1"/>
    <col min="7684" max="7684" width="10.44140625" style="1065" customWidth="1"/>
    <col min="7685" max="7685" width="12.33203125" style="1065" customWidth="1"/>
    <col min="7686" max="7686" width="14.88671875" style="1065" customWidth="1"/>
    <col min="7687" max="7687" width="9.109375" style="1065" customWidth="1"/>
    <col min="7688" max="7688" width="14.33203125" style="1065" customWidth="1"/>
    <col min="7689" max="7689" width="9.109375" style="1065" customWidth="1"/>
    <col min="7690" max="7690" width="10.44140625" style="1065" customWidth="1"/>
    <col min="7691" max="7705" width="9.109375" style="1065" customWidth="1"/>
    <col min="7706" max="7935" width="8.88671875" style="1065"/>
    <col min="7936" max="7936" width="3" style="1065" customWidth="1"/>
    <col min="7937" max="7937" width="4.33203125" style="1065" customWidth="1"/>
    <col min="7938" max="7938" width="39.44140625" style="1065" customWidth="1"/>
    <col min="7939" max="7939" width="8.88671875" style="1065" customWidth="1"/>
    <col min="7940" max="7940" width="10.44140625" style="1065" customWidth="1"/>
    <col min="7941" max="7941" width="12.33203125" style="1065" customWidth="1"/>
    <col min="7942" max="7942" width="14.88671875" style="1065" customWidth="1"/>
    <col min="7943" max="7943" width="9.109375" style="1065" customWidth="1"/>
    <col min="7944" max="7944" width="14.33203125" style="1065" customWidth="1"/>
    <col min="7945" max="7945" width="9.109375" style="1065" customWidth="1"/>
    <col min="7946" max="7946" width="10.44140625" style="1065" customWidth="1"/>
    <col min="7947" max="7961" width="9.109375" style="1065" customWidth="1"/>
    <col min="7962" max="8191" width="8.88671875" style="1065"/>
    <col min="8192" max="8192" width="3" style="1065" customWidth="1"/>
    <col min="8193" max="8193" width="4.33203125" style="1065" customWidth="1"/>
    <col min="8194" max="8194" width="39.44140625" style="1065" customWidth="1"/>
    <col min="8195" max="8195" width="8.88671875" style="1065" customWidth="1"/>
    <col min="8196" max="8196" width="10.44140625" style="1065" customWidth="1"/>
    <col min="8197" max="8197" width="12.33203125" style="1065" customWidth="1"/>
    <col min="8198" max="8198" width="14.88671875" style="1065" customWidth="1"/>
    <col min="8199" max="8199" width="9.109375" style="1065" customWidth="1"/>
    <col min="8200" max="8200" width="14.33203125" style="1065" customWidth="1"/>
    <col min="8201" max="8201" width="9.109375" style="1065" customWidth="1"/>
    <col min="8202" max="8202" width="10.44140625" style="1065" customWidth="1"/>
    <col min="8203" max="8217" width="9.109375" style="1065" customWidth="1"/>
    <col min="8218" max="8447" width="8.88671875" style="1065"/>
    <col min="8448" max="8448" width="3" style="1065" customWidth="1"/>
    <col min="8449" max="8449" width="4.33203125" style="1065" customWidth="1"/>
    <col min="8450" max="8450" width="39.44140625" style="1065" customWidth="1"/>
    <col min="8451" max="8451" width="8.88671875" style="1065" customWidth="1"/>
    <col min="8452" max="8452" width="10.44140625" style="1065" customWidth="1"/>
    <col min="8453" max="8453" width="12.33203125" style="1065" customWidth="1"/>
    <col min="8454" max="8454" width="14.88671875" style="1065" customWidth="1"/>
    <col min="8455" max="8455" width="9.109375" style="1065" customWidth="1"/>
    <col min="8456" max="8456" width="14.33203125" style="1065" customWidth="1"/>
    <col min="8457" max="8457" width="9.109375" style="1065" customWidth="1"/>
    <col min="8458" max="8458" width="10.44140625" style="1065" customWidth="1"/>
    <col min="8459" max="8473" width="9.109375" style="1065" customWidth="1"/>
    <col min="8474" max="8703" width="8.88671875" style="1065"/>
    <col min="8704" max="8704" width="3" style="1065" customWidth="1"/>
    <col min="8705" max="8705" width="4.33203125" style="1065" customWidth="1"/>
    <col min="8706" max="8706" width="39.44140625" style="1065" customWidth="1"/>
    <col min="8707" max="8707" width="8.88671875" style="1065" customWidth="1"/>
    <col min="8708" max="8708" width="10.44140625" style="1065" customWidth="1"/>
    <col min="8709" max="8709" width="12.33203125" style="1065" customWidth="1"/>
    <col min="8710" max="8710" width="14.88671875" style="1065" customWidth="1"/>
    <col min="8711" max="8711" width="9.109375" style="1065" customWidth="1"/>
    <col min="8712" max="8712" width="14.33203125" style="1065" customWidth="1"/>
    <col min="8713" max="8713" width="9.109375" style="1065" customWidth="1"/>
    <col min="8714" max="8714" width="10.44140625" style="1065" customWidth="1"/>
    <col min="8715" max="8729" width="9.109375" style="1065" customWidth="1"/>
    <col min="8730" max="8959" width="8.88671875" style="1065"/>
    <col min="8960" max="8960" width="3" style="1065" customWidth="1"/>
    <col min="8961" max="8961" width="4.33203125" style="1065" customWidth="1"/>
    <col min="8962" max="8962" width="39.44140625" style="1065" customWidth="1"/>
    <col min="8963" max="8963" width="8.88671875" style="1065" customWidth="1"/>
    <col min="8964" max="8964" width="10.44140625" style="1065" customWidth="1"/>
    <col min="8965" max="8965" width="12.33203125" style="1065" customWidth="1"/>
    <col min="8966" max="8966" width="14.88671875" style="1065" customWidth="1"/>
    <col min="8967" max="8967" width="9.109375" style="1065" customWidth="1"/>
    <col min="8968" max="8968" width="14.33203125" style="1065" customWidth="1"/>
    <col min="8969" max="8969" width="9.109375" style="1065" customWidth="1"/>
    <col min="8970" max="8970" width="10.44140625" style="1065" customWidth="1"/>
    <col min="8971" max="8985" width="9.109375" style="1065" customWidth="1"/>
    <col min="8986" max="9215" width="8.88671875" style="1065"/>
    <col min="9216" max="9216" width="3" style="1065" customWidth="1"/>
    <col min="9217" max="9217" width="4.33203125" style="1065" customWidth="1"/>
    <col min="9218" max="9218" width="39.44140625" style="1065" customWidth="1"/>
    <col min="9219" max="9219" width="8.88671875" style="1065" customWidth="1"/>
    <col min="9220" max="9220" width="10.44140625" style="1065" customWidth="1"/>
    <col min="9221" max="9221" width="12.33203125" style="1065" customWidth="1"/>
    <col min="9222" max="9222" width="14.88671875" style="1065" customWidth="1"/>
    <col min="9223" max="9223" width="9.109375" style="1065" customWidth="1"/>
    <col min="9224" max="9224" width="14.33203125" style="1065" customWidth="1"/>
    <col min="9225" max="9225" width="9.109375" style="1065" customWidth="1"/>
    <col min="9226" max="9226" width="10.44140625" style="1065" customWidth="1"/>
    <col min="9227" max="9241" width="9.109375" style="1065" customWidth="1"/>
    <col min="9242" max="9471" width="8.88671875" style="1065"/>
    <col min="9472" max="9472" width="3" style="1065" customWidth="1"/>
    <col min="9473" max="9473" width="4.33203125" style="1065" customWidth="1"/>
    <col min="9474" max="9474" width="39.44140625" style="1065" customWidth="1"/>
    <col min="9475" max="9475" width="8.88671875" style="1065" customWidth="1"/>
    <col min="9476" max="9476" width="10.44140625" style="1065" customWidth="1"/>
    <col min="9477" max="9477" width="12.33203125" style="1065" customWidth="1"/>
    <col min="9478" max="9478" width="14.88671875" style="1065" customWidth="1"/>
    <col min="9479" max="9479" width="9.109375" style="1065" customWidth="1"/>
    <col min="9480" max="9480" width="14.33203125" style="1065" customWidth="1"/>
    <col min="9481" max="9481" width="9.109375" style="1065" customWidth="1"/>
    <col min="9482" max="9482" width="10.44140625" style="1065" customWidth="1"/>
    <col min="9483" max="9497" width="9.109375" style="1065" customWidth="1"/>
    <col min="9498" max="9727" width="8.88671875" style="1065"/>
    <col min="9728" max="9728" width="3" style="1065" customWidth="1"/>
    <col min="9729" max="9729" width="4.33203125" style="1065" customWidth="1"/>
    <col min="9730" max="9730" width="39.44140625" style="1065" customWidth="1"/>
    <col min="9731" max="9731" width="8.88671875" style="1065" customWidth="1"/>
    <col min="9732" max="9732" width="10.44140625" style="1065" customWidth="1"/>
    <col min="9733" max="9733" width="12.33203125" style="1065" customWidth="1"/>
    <col min="9734" max="9734" width="14.88671875" style="1065" customWidth="1"/>
    <col min="9735" max="9735" width="9.109375" style="1065" customWidth="1"/>
    <col min="9736" max="9736" width="14.33203125" style="1065" customWidth="1"/>
    <col min="9737" max="9737" width="9.109375" style="1065" customWidth="1"/>
    <col min="9738" max="9738" width="10.44140625" style="1065" customWidth="1"/>
    <col min="9739" max="9753" width="9.109375" style="1065" customWidth="1"/>
    <col min="9754" max="9983" width="8.88671875" style="1065"/>
    <col min="9984" max="9984" width="3" style="1065" customWidth="1"/>
    <col min="9985" max="9985" width="4.33203125" style="1065" customWidth="1"/>
    <col min="9986" max="9986" width="39.44140625" style="1065" customWidth="1"/>
    <col min="9987" max="9987" width="8.88671875" style="1065" customWidth="1"/>
    <col min="9988" max="9988" width="10.44140625" style="1065" customWidth="1"/>
    <col min="9989" max="9989" width="12.33203125" style="1065" customWidth="1"/>
    <col min="9990" max="9990" width="14.88671875" style="1065" customWidth="1"/>
    <col min="9991" max="9991" width="9.109375" style="1065" customWidth="1"/>
    <col min="9992" max="9992" width="14.33203125" style="1065" customWidth="1"/>
    <col min="9993" max="9993" width="9.109375" style="1065" customWidth="1"/>
    <col min="9994" max="9994" width="10.44140625" style="1065" customWidth="1"/>
    <col min="9995" max="10009" width="9.109375" style="1065" customWidth="1"/>
    <col min="10010" max="10239" width="8.88671875" style="1065"/>
    <col min="10240" max="10240" width="3" style="1065" customWidth="1"/>
    <col min="10241" max="10241" width="4.33203125" style="1065" customWidth="1"/>
    <col min="10242" max="10242" width="39.44140625" style="1065" customWidth="1"/>
    <col min="10243" max="10243" width="8.88671875" style="1065" customWidth="1"/>
    <col min="10244" max="10244" width="10.44140625" style="1065" customWidth="1"/>
    <col min="10245" max="10245" width="12.33203125" style="1065" customWidth="1"/>
    <col min="10246" max="10246" width="14.88671875" style="1065" customWidth="1"/>
    <col min="10247" max="10247" width="9.109375" style="1065" customWidth="1"/>
    <col min="10248" max="10248" width="14.33203125" style="1065" customWidth="1"/>
    <col min="10249" max="10249" width="9.109375" style="1065" customWidth="1"/>
    <col min="10250" max="10250" width="10.44140625" style="1065" customWidth="1"/>
    <col min="10251" max="10265" width="9.109375" style="1065" customWidth="1"/>
    <col min="10266" max="10495" width="8.88671875" style="1065"/>
    <col min="10496" max="10496" width="3" style="1065" customWidth="1"/>
    <col min="10497" max="10497" width="4.33203125" style="1065" customWidth="1"/>
    <col min="10498" max="10498" width="39.44140625" style="1065" customWidth="1"/>
    <col min="10499" max="10499" width="8.88671875" style="1065" customWidth="1"/>
    <col min="10500" max="10500" width="10.44140625" style="1065" customWidth="1"/>
    <col min="10501" max="10501" width="12.33203125" style="1065" customWidth="1"/>
    <col min="10502" max="10502" width="14.88671875" style="1065" customWidth="1"/>
    <col min="10503" max="10503" width="9.109375" style="1065" customWidth="1"/>
    <col min="10504" max="10504" width="14.33203125" style="1065" customWidth="1"/>
    <col min="10505" max="10505" width="9.109375" style="1065" customWidth="1"/>
    <col min="10506" max="10506" width="10.44140625" style="1065" customWidth="1"/>
    <col min="10507" max="10521" width="9.109375" style="1065" customWidth="1"/>
    <col min="10522" max="10751" width="8.88671875" style="1065"/>
    <col min="10752" max="10752" width="3" style="1065" customWidth="1"/>
    <col min="10753" max="10753" width="4.33203125" style="1065" customWidth="1"/>
    <col min="10754" max="10754" width="39.44140625" style="1065" customWidth="1"/>
    <col min="10755" max="10755" width="8.88671875" style="1065" customWidth="1"/>
    <col min="10756" max="10756" width="10.44140625" style="1065" customWidth="1"/>
    <col min="10757" max="10757" width="12.33203125" style="1065" customWidth="1"/>
    <col min="10758" max="10758" width="14.88671875" style="1065" customWidth="1"/>
    <col min="10759" max="10759" width="9.109375" style="1065" customWidth="1"/>
    <col min="10760" max="10760" width="14.33203125" style="1065" customWidth="1"/>
    <col min="10761" max="10761" width="9.109375" style="1065" customWidth="1"/>
    <col min="10762" max="10762" width="10.44140625" style="1065" customWidth="1"/>
    <col min="10763" max="10777" width="9.109375" style="1065" customWidth="1"/>
    <col min="10778" max="11007" width="8.88671875" style="1065"/>
    <col min="11008" max="11008" width="3" style="1065" customWidth="1"/>
    <col min="11009" max="11009" width="4.33203125" style="1065" customWidth="1"/>
    <col min="11010" max="11010" width="39.44140625" style="1065" customWidth="1"/>
    <col min="11011" max="11011" width="8.88671875" style="1065" customWidth="1"/>
    <col min="11012" max="11012" width="10.44140625" style="1065" customWidth="1"/>
    <col min="11013" max="11013" width="12.33203125" style="1065" customWidth="1"/>
    <col min="11014" max="11014" width="14.88671875" style="1065" customWidth="1"/>
    <col min="11015" max="11015" width="9.109375" style="1065" customWidth="1"/>
    <col min="11016" max="11016" width="14.33203125" style="1065" customWidth="1"/>
    <col min="11017" max="11017" width="9.109375" style="1065" customWidth="1"/>
    <col min="11018" max="11018" width="10.44140625" style="1065" customWidth="1"/>
    <col min="11019" max="11033" width="9.109375" style="1065" customWidth="1"/>
    <col min="11034" max="11263" width="8.88671875" style="1065"/>
    <col min="11264" max="11264" width="3" style="1065" customWidth="1"/>
    <col min="11265" max="11265" width="4.33203125" style="1065" customWidth="1"/>
    <col min="11266" max="11266" width="39.44140625" style="1065" customWidth="1"/>
    <col min="11267" max="11267" width="8.88671875" style="1065" customWidth="1"/>
    <col min="11268" max="11268" width="10.44140625" style="1065" customWidth="1"/>
    <col min="11269" max="11269" width="12.33203125" style="1065" customWidth="1"/>
    <col min="11270" max="11270" width="14.88671875" style="1065" customWidth="1"/>
    <col min="11271" max="11271" width="9.109375" style="1065" customWidth="1"/>
    <col min="11272" max="11272" width="14.33203125" style="1065" customWidth="1"/>
    <col min="11273" max="11273" width="9.109375" style="1065" customWidth="1"/>
    <col min="11274" max="11274" width="10.44140625" style="1065" customWidth="1"/>
    <col min="11275" max="11289" width="9.109375" style="1065" customWidth="1"/>
    <col min="11290" max="11519" width="8.88671875" style="1065"/>
    <col min="11520" max="11520" width="3" style="1065" customWidth="1"/>
    <col min="11521" max="11521" width="4.33203125" style="1065" customWidth="1"/>
    <col min="11522" max="11522" width="39.44140625" style="1065" customWidth="1"/>
    <col min="11523" max="11523" width="8.88671875" style="1065" customWidth="1"/>
    <col min="11524" max="11524" width="10.44140625" style="1065" customWidth="1"/>
    <col min="11525" max="11525" width="12.33203125" style="1065" customWidth="1"/>
    <col min="11526" max="11526" width="14.88671875" style="1065" customWidth="1"/>
    <col min="11527" max="11527" width="9.109375" style="1065" customWidth="1"/>
    <col min="11528" max="11528" width="14.33203125" style="1065" customWidth="1"/>
    <col min="11529" max="11529" width="9.109375" style="1065" customWidth="1"/>
    <col min="11530" max="11530" width="10.44140625" style="1065" customWidth="1"/>
    <col min="11531" max="11545" width="9.109375" style="1065" customWidth="1"/>
    <col min="11546" max="11775" width="8.88671875" style="1065"/>
    <col min="11776" max="11776" width="3" style="1065" customWidth="1"/>
    <col min="11777" max="11777" width="4.33203125" style="1065" customWidth="1"/>
    <col min="11778" max="11778" width="39.44140625" style="1065" customWidth="1"/>
    <col min="11779" max="11779" width="8.88671875" style="1065" customWidth="1"/>
    <col min="11780" max="11780" width="10.44140625" style="1065" customWidth="1"/>
    <col min="11781" max="11781" width="12.33203125" style="1065" customWidth="1"/>
    <col min="11782" max="11782" width="14.88671875" style="1065" customWidth="1"/>
    <col min="11783" max="11783" width="9.109375" style="1065" customWidth="1"/>
    <col min="11784" max="11784" width="14.33203125" style="1065" customWidth="1"/>
    <col min="11785" max="11785" width="9.109375" style="1065" customWidth="1"/>
    <col min="11786" max="11786" width="10.44140625" style="1065" customWidth="1"/>
    <col min="11787" max="11801" width="9.109375" style="1065" customWidth="1"/>
    <col min="11802" max="12031" width="8.88671875" style="1065"/>
    <col min="12032" max="12032" width="3" style="1065" customWidth="1"/>
    <col min="12033" max="12033" width="4.33203125" style="1065" customWidth="1"/>
    <col min="12034" max="12034" width="39.44140625" style="1065" customWidth="1"/>
    <col min="12035" max="12035" width="8.88671875" style="1065" customWidth="1"/>
    <col min="12036" max="12036" width="10.44140625" style="1065" customWidth="1"/>
    <col min="12037" max="12037" width="12.33203125" style="1065" customWidth="1"/>
    <col min="12038" max="12038" width="14.88671875" style="1065" customWidth="1"/>
    <col min="12039" max="12039" width="9.109375" style="1065" customWidth="1"/>
    <col min="12040" max="12040" width="14.33203125" style="1065" customWidth="1"/>
    <col min="12041" max="12041" width="9.109375" style="1065" customWidth="1"/>
    <col min="12042" max="12042" width="10.44140625" style="1065" customWidth="1"/>
    <col min="12043" max="12057" width="9.109375" style="1065" customWidth="1"/>
    <col min="12058" max="12287" width="8.88671875" style="1065"/>
    <col min="12288" max="12288" width="3" style="1065" customWidth="1"/>
    <col min="12289" max="12289" width="4.33203125" style="1065" customWidth="1"/>
    <col min="12290" max="12290" width="39.44140625" style="1065" customWidth="1"/>
    <col min="12291" max="12291" width="8.88671875" style="1065" customWidth="1"/>
    <col min="12292" max="12292" width="10.44140625" style="1065" customWidth="1"/>
    <col min="12293" max="12293" width="12.33203125" style="1065" customWidth="1"/>
    <col min="12294" max="12294" width="14.88671875" style="1065" customWidth="1"/>
    <col min="12295" max="12295" width="9.109375" style="1065" customWidth="1"/>
    <col min="12296" max="12296" width="14.33203125" style="1065" customWidth="1"/>
    <col min="12297" max="12297" width="9.109375" style="1065" customWidth="1"/>
    <col min="12298" max="12298" width="10.44140625" style="1065" customWidth="1"/>
    <col min="12299" max="12313" width="9.109375" style="1065" customWidth="1"/>
    <col min="12314" max="12543" width="8.88671875" style="1065"/>
    <col min="12544" max="12544" width="3" style="1065" customWidth="1"/>
    <col min="12545" max="12545" width="4.33203125" style="1065" customWidth="1"/>
    <col min="12546" max="12546" width="39.44140625" style="1065" customWidth="1"/>
    <col min="12547" max="12547" width="8.88671875" style="1065" customWidth="1"/>
    <col min="12548" max="12548" width="10.44140625" style="1065" customWidth="1"/>
    <col min="12549" max="12549" width="12.33203125" style="1065" customWidth="1"/>
    <col min="12550" max="12550" width="14.88671875" style="1065" customWidth="1"/>
    <col min="12551" max="12551" width="9.109375" style="1065" customWidth="1"/>
    <col min="12552" max="12552" width="14.33203125" style="1065" customWidth="1"/>
    <col min="12553" max="12553" width="9.109375" style="1065" customWidth="1"/>
    <col min="12554" max="12554" width="10.44140625" style="1065" customWidth="1"/>
    <col min="12555" max="12569" width="9.109375" style="1065" customWidth="1"/>
    <col min="12570" max="12799" width="8.88671875" style="1065"/>
    <col min="12800" max="12800" width="3" style="1065" customWidth="1"/>
    <col min="12801" max="12801" width="4.33203125" style="1065" customWidth="1"/>
    <col min="12802" max="12802" width="39.44140625" style="1065" customWidth="1"/>
    <col min="12803" max="12803" width="8.88671875" style="1065" customWidth="1"/>
    <col min="12804" max="12804" width="10.44140625" style="1065" customWidth="1"/>
    <col min="12805" max="12805" width="12.33203125" style="1065" customWidth="1"/>
    <col min="12806" max="12806" width="14.88671875" style="1065" customWidth="1"/>
    <col min="12807" max="12807" width="9.109375" style="1065" customWidth="1"/>
    <col min="12808" max="12808" width="14.33203125" style="1065" customWidth="1"/>
    <col min="12809" max="12809" width="9.109375" style="1065" customWidth="1"/>
    <col min="12810" max="12810" width="10.44140625" style="1065" customWidth="1"/>
    <col min="12811" max="12825" width="9.109375" style="1065" customWidth="1"/>
    <col min="12826" max="13055" width="8.88671875" style="1065"/>
    <col min="13056" max="13056" width="3" style="1065" customWidth="1"/>
    <col min="13057" max="13057" width="4.33203125" style="1065" customWidth="1"/>
    <col min="13058" max="13058" width="39.44140625" style="1065" customWidth="1"/>
    <col min="13059" max="13059" width="8.88671875" style="1065" customWidth="1"/>
    <col min="13060" max="13060" width="10.44140625" style="1065" customWidth="1"/>
    <col min="13061" max="13061" width="12.33203125" style="1065" customWidth="1"/>
    <col min="13062" max="13062" width="14.88671875" style="1065" customWidth="1"/>
    <col min="13063" max="13063" width="9.109375" style="1065" customWidth="1"/>
    <col min="13064" max="13064" width="14.33203125" style="1065" customWidth="1"/>
    <col min="13065" max="13065" width="9.109375" style="1065" customWidth="1"/>
    <col min="13066" max="13066" width="10.44140625" style="1065" customWidth="1"/>
    <col min="13067" max="13081" width="9.109375" style="1065" customWidth="1"/>
    <col min="13082" max="13311" width="8.88671875" style="1065"/>
    <col min="13312" max="13312" width="3" style="1065" customWidth="1"/>
    <col min="13313" max="13313" width="4.33203125" style="1065" customWidth="1"/>
    <col min="13314" max="13314" width="39.44140625" style="1065" customWidth="1"/>
    <col min="13315" max="13315" width="8.88671875" style="1065" customWidth="1"/>
    <col min="13316" max="13316" width="10.44140625" style="1065" customWidth="1"/>
    <col min="13317" max="13317" width="12.33203125" style="1065" customWidth="1"/>
    <col min="13318" max="13318" width="14.88671875" style="1065" customWidth="1"/>
    <col min="13319" max="13319" width="9.109375" style="1065" customWidth="1"/>
    <col min="13320" max="13320" width="14.33203125" style="1065" customWidth="1"/>
    <col min="13321" max="13321" width="9.109375" style="1065" customWidth="1"/>
    <col min="13322" max="13322" width="10.44140625" style="1065" customWidth="1"/>
    <col min="13323" max="13337" width="9.109375" style="1065" customWidth="1"/>
    <col min="13338" max="13567" width="8.88671875" style="1065"/>
    <col min="13568" max="13568" width="3" style="1065" customWidth="1"/>
    <col min="13569" max="13569" width="4.33203125" style="1065" customWidth="1"/>
    <col min="13570" max="13570" width="39.44140625" style="1065" customWidth="1"/>
    <col min="13571" max="13571" width="8.88671875" style="1065" customWidth="1"/>
    <col min="13572" max="13572" width="10.44140625" style="1065" customWidth="1"/>
    <col min="13573" max="13573" width="12.33203125" style="1065" customWidth="1"/>
    <col min="13574" max="13574" width="14.88671875" style="1065" customWidth="1"/>
    <col min="13575" max="13575" width="9.109375" style="1065" customWidth="1"/>
    <col min="13576" max="13576" width="14.33203125" style="1065" customWidth="1"/>
    <col min="13577" max="13577" width="9.109375" style="1065" customWidth="1"/>
    <col min="13578" max="13578" width="10.44140625" style="1065" customWidth="1"/>
    <col min="13579" max="13593" width="9.109375" style="1065" customWidth="1"/>
    <col min="13594" max="13823" width="8.88671875" style="1065"/>
    <col min="13824" max="13824" width="3" style="1065" customWidth="1"/>
    <col min="13825" max="13825" width="4.33203125" style="1065" customWidth="1"/>
    <col min="13826" max="13826" width="39.44140625" style="1065" customWidth="1"/>
    <col min="13827" max="13827" width="8.88671875" style="1065" customWidth="1"/>
    <col min="13828" max="13828" width="10.44140625" style="1065" customWidth="1"/>
    <col min="13829" max="13829" width="12.33203125" style="1065" customWidth="1"/>
    <col min="13830" max="13830" width="14.88671875" style="1065" customWidth="1"/>
    <col min="13831" max="13831" width="9.109375" style="1065" customWidth="1"/>
    <col min="13832" max="13832" width="14.33203125" style="1065" customWidth="1"/>
    <col min="13833" max="13833" width="9.109375" style="1065" customWidth="1"/>
    <col min="13834" max="13834" width="10.44140625" style="1065" customWidth="1"/>
    <col min="13835" max="13849" width="9.109375" style="1065" customWidth="1"/>
    <col min="13850" max="14079" width="8.88671875" style="1065"/>
    <col min="14080" max="14080" width="3" style="1065" customWidth="1"/>
    <col min="14081" max="14081" width="4.33203125" style="1065" customWidth="1"/>
    <col min="14082" max="14082" width="39.44140625" style="1065" customWidth="1"/>
    <col min="14083" max="14083" width="8.88671875" style="1065" customWidth="1"/>
    <col min="14084" max="14084" width="10.44140625" style="1065" customWidth="1"/>
    <col min="14085" max="14085" width="12.33203125" style="1065" customWidth="1"/>
    <col min="14086" max="14086" width="14.88671875" style="1065" customWidth="1"/>
    <col min="14087" max="14087" width="9.109375" style="1065" customWidth="1"/>
    <col min="14088" max="14088" width="14.33203125" style="1065" customWidth="1"/>
    <col min="14089" max="14089" width="9.109375" style="1065" customWidth="1"/>
    <col min="14090" max="14090" width="10.44140625" style="1065" customWidth="1"/>
    <col min="14091" max="14105" width="9.109375" style="1065" customWidth="1"/>
    <col min="14106" max="14335" width="8.88671875" style="1065"/>
    <col min="14336" max="14336" width="3" style="1065" customWidth="1"/>
    <col min="14337" max="14337" width="4.33203125" style="1065" customWidth="1"/>
    <col min="14338" max="14338" width="39.44140625" style="1065" customWidth="1"/>
    <col min="14339" max="14339" width="8.88671875" style="1065" customWidth="1"/>
    <col min="14340" max="14340" width="10.44140625" style="1065" customWidth="1"/>
    <col min="14341" max="14341" width="12.33203125" style="1065" customWidth="1"/>
    <col min="14342" max="14342" width="14.88671875" style="1065" customWidth="1"/>
    <col min="14343" max="14343" width="9.109375" style="1065" customWidth="1"/>
    <col min="14344" max="14344" width="14.33203125" style="1065" customWidth="1"/>
    <col min="14345" max="14345" width="9.109375" style="1065" customWidth="1"/>
    <col min="14346" max="14346" width="10.44140625" style="1065" customWidth="1"/>
    <col min="14347" max="14361" width="9.109375" style="1065" customWidth="1"/>
    <col min="14362" max="14591" width="8.88671875" style="1065"/>
    <col min="14592" max="14592" width="3" style="1065" customWidth="1"/>
    <col min="14593" max="14593" width="4.33203125" style="1065" customWidth="1"/>
    <col min="14594" max="14594" width="39.44140625" style="1065" customWidth="1"/>
    <col min="14595" max="14595" width="8.88671875" style="1065" customWidth="1"/>
    <col min="14596" max="14596" width="10.44140625" style="1065" customWidth="1"/>
    <col min="14597" max="14597" width="12.33203125" style="1065" customWidth="1"/>
    <col min="14598" max="14598" width="14.88671875" style="1065" customWidth="1"/>
    <col min="14599" max="14599" width="9.109375" style="1065" customWidth="1"/>
    <col min="14600" max="14600" width="14.33203125" style="1065" customWidth="1"/>
    <col min="14601" max="14601" width="9.109375" style="1065" customWidth="1"/>
    <col min="14602" max="14602" width="10.44140625" style="1065" customWidth="1"/>
    <col min="14603" max="14617" width="9.109375" style="1065" customWidth="1"/>
    <col min="14618" max="14847" width="8.88671875" style="1065"/>
    <col min="14848" max="14848" width="3" style="1065" customWidth="1"/>
    <col min="14849" max="14849" width="4.33203125" style="1065" customWidth="1"/>
    <col min="14850" max="14850" width="39.44140625" style="1065" customWidth="1"/>
    <col min="14851" max="14851" width="8.88671875" style="1065" customWidth="1"/>
    <col min="14852" max="14852" width="10.44140625" style="1065" customWidth="1"/>
    <col min="14853" max="14853" width="12.33203125" style="1065" customWidth="1"/>
    <col min="14854" max="14854" width="14.88671875" style="1065" customWidth="1"/>
    <col min="14855" max="14855" width="9.109375" style="1065" customWidth="1"/>
    <col min="14856" max="14856" width="14.33203125" style="1065" customWidth="1"/>
    <col min="14857" max="14857" width="9.109375" style="1065" customWidth="1"/>
    <col min="14858" max="14858" width="10.44140625" style="1065" customWidth="1"/>
    <col min="14859" max="14873" width="9.109375" style="1065" customWidth="1"/>
    <col min="14874" max="15103" width="8.88671875" style="1065"/>
    <col min="15104" max="15104" width="3" style="1065" customWidth="1"/>
    <col min="15105" max="15105" width="4.33203125" style="1065" customWidth="1"/>
    <col min="15106" max="15106" width="39.44140625" style="1065" customWidth="1"/>
    <col min="15107" max="15107" width="8.88671875" style="1065" customWidth="1"/>
    <col min="15108" max="15108" width="10.44140625" style="1065" customWidth="1"/>
    <col min="15109" max="15109" width="12.33203125" style="1065" customWidth="1"/>
    <col min="15110" max="15110" width="14.88671875" style="1065" customWidth="1"/>
    <col min="15111" max="15111" width="9.109375" style="1065" customWidth="1"/>
    <col min="15112" max="15112" width="14.33203125" style="1065" customWidth="1"/>
    <col min="15113" max="15113" width="9.109375" style="1065" customWidth="1"/>
    <col min="15114" max="15114" width="10.44140625" style="1065" customWidth="1"/>
    <col min="15115" max="15129" width="9.109375" style="1065" customWidth="1"/>
    <col min="15130" max="15359" width="8.88671875" style="1065"/>
    <col min="15360" max="15360" width="3" style="1065" customWidth="1"/>
    <col min="15361" max="15361" width="4.33203125" style="1065" customWidth="1"/>
    <col min="15362" max="15362" width="39.44140625" style="1065" customWidth="1"/>
    <col min="15363" max="15363" width="8.88671875" style="1065" customWidth="1"/>
    <col min="15364" max="15364" width="10.44140625" style="1065" customWidth="1"/>
    <col min="15365" max="15365" width="12.33203125" style="1065" customWidth="1"/>
    <col min="15366" max="15366" width="14.88671875" style="1065" customWidth="1"/>
    <col min="15367" max="15367" width="9.109375" style="1065" customWidth="1"/>
    <col min="15368" max="15368" width="14.33203125" style="1065" customWidth="1"/>
    <col min="15369" max="15369" width="9.109375" style="1065" customWidth="1"/>
    <col min="15370" max="15370" width="10.44140625" style="1065" customWidth="1"/>
    <col min="15371" max="15385" width="9.109375" style="1065" customWidth="1"/>
    <col min="15386" max="15615" width="8.88671875" style="1065"/>
    <col min="15616" max="15616" width="3" style="1065" customWidth="1"/>
    <col min="15617" max="15617" width="4.33203125" style="1065" customWidth="1"/>
    <col min="15618" max="15618" width="39.44140625" style="1065" customWidth="1"/>
    <col min="15619" max="15619" width="8.88671875" style="1065" customWidth="1"/>
    <col min="15620" max="15620" width="10.44140625" style="1065" customWidth="1"/>
    <col min="15621" max="15621" width="12.33203125" style="1065" customWidth="1"/>
    <col min="15622" max="15622" width="14.88671875" style="1065" customWidth="1"/>
    <col min="15623" max="15623" width="9.109375" style="1065" customWidth="1"/>
    <col min="15624" max="15624" width="14.33203125" style="1065" customWidth="1"/>
    <col min="15625" max="15625" width="9.109375" style="1065" customWidth="1"/>
    <col min="15626" max="15626" width="10.44140625" style="1065" customWidth="1"/>
    <col min="15627" max="15641" width="9.109375" style="1065" customWidth="1"/>
    <col min="15642" max="15871" width="8.88671875" style="1065"/>
    <col min="15872" max="15872" width="3" style="1065" customWidth="1"/>
    <col min="15873" max="15873" width="4.33203125" style="1065" customWidth="1"/>
    <col min="15874" max="15874" width="39.44140625" style="1065" customWidth="1"/>
    <col min="15875" max="15875" width="8.88671875" style="1065" customWidth="1"/>
    <col min="15876" max="15876" width="10.44140625" style="1065" customWidth="1"/>
    <col min="15877" max="15877" width="12.33203125" style="1065" customWidth="1"/>
    <col min="15878" max="15878" width="14.88671875" style="1065" customWidth="1"/>
    <col min="15879" max="15879" width="9.109375" style="1065" customWidth="1"/>
    <col min="15880" max="15880" width="14.33203125" style="1065" customWidth="1"/>
    <col min="15881" max="15881" width="9.109375" style="1065" customWidth="1"/>
    <col min="15882" max="15882" width="10.44140625" style="1065" customWidth="1"/>
    <col min="15883" max="15897" width="9.109375" style="1065" customWidth="1"/>
    <col min="15898" max="16127" width="8.88671875" style="1065"/>
    <col min="16128" max="16128" width="3" style="1065" customWidth="1"/>
    <col min="16129" max="16129" width="4.33203125" style="1065" customWidth="1"/>
    <col min="16130" max="16130" width="39.44140625" style="1065" customWidth="1"/>
    <col min="16131" max="16131" width="8.88671875" style="1065" customWidth="1"/>
    <col min="16132" max="16132" width="10.44140625" style="1065" customWidth="1"/>
    <col min="16133" max="16133" width="12.33203125" style="1065" customWidth="1"/>
    <col min="16134" max="16134" width="14.88671875" style="1065" customWidth="1"/>
    <col min="16135" max="16135" width="9.109375" style="1065" customWidth="1"/>
    <col min="16136" max="16136" width="14.33203125" style="1065" customWidth="1"/>
    <col min="16137" max="16137" width="9.109375" style="1065" customWidth="1"/>
    <col min="16138" max="16138" width="10.44140625" style="1065" customWidth="1"/>
    <col min="16139" max="16153" width="9.109375" style="1065" customWidth="1"/>
    <col min="16154" max="16384" width="8.88671875" style="1065"/>
  </cols>
  <sheetData>
    <row r="1" spans="1:14" s="1100" customFormat="1" ht="15.6" x14ac:dyDescent="0.3">
      <c r="A1" s="1436" t="s">
        <v>1722</v>
      </c>
      <c r="B1" s="1437"/>
      <c r="C1" s="1438"/>
      <c r="D1" s="1439"/>
      <c r="E1" s="1440"/>
      <c r="F1" s="1441"/>
    </row>
    <row r="2" spans="1:14" s="1100" customFormat="1" ht="15.6" x14ac:dyDescent="0.3">
      <c r="A2" s="1442" t="s">
        <v>1723</v>
      </c>
      <c r="B2" s="1443"/>
      <c r="C2" s="1444"/>
      <c r="D2" s="1445"/>
      <c r="E2" s="1445"/>
      <c r="F2" s="1446"/>
    </row>
    <row r="3" spans="1:14" s="1100" customFormat="1" ht="15.6" x14ac:dyDescent="0.3">
      <c r="A3" s="2785" t="s">
        <v>1724</v>
      </c>
      <c r="B3" s="2786"/>
      <c r="C3" s="1444"/>
      <c r="D3" s="1445"/>
      <c r="E3" s="1445"/>
      <c r="F3" s="1446"/>
    </row>
    <row r="4" spans="1:14" s="1101" customFormat="1" ht="17.399999999999999" x14ac:dyDescent="0.3">
      <c r="A4" s="1447"/>
      <c r="B4" s="1448"/>
      <c r="C4" s="1449"/>
      <c r="D4" s="1450"/>
      <c r="E4" s="1451"/>
      <c r="F4" s="1452"/>
    </row>
    <row r="5" spans="1:14" s="1105" customFormat="1" x14ac:dyDescent="0.25">
      <c r="A5" s="1102" t="s">
        <v>683</v>
      </c>
      <c r="B5" s="1102" t="s">
        <v>684</v>
      </c>
      <c r="C5" s="1103" t="s">
        <v>689</v>
      </c>
      <c r="D5" s="1102" t="s">
        <v>691</v>
      </c>
      <c r="E5" s="1104" t="s">
        <v>955</v>
      </c>
      <c r="F5" s="964" t="s">
        <v>1772</v>
      </c>
    </row>
    <row r="6" spans="1:14" s="1105" customFormat="1" x14ac:dyDescent="0.25">
      <c r="A6" s="1106"/>
      <c r="B6" s="1107"/>
      <c r="C6" s="1108"/>
      <c r="D6" s="1107"/>
      <c r="E6" s="1109"/>
      <c r="F6" s="972"/>
    </row>
    <row r="7" spans="1:14" s="1105" customFormat="1" x14ac:dyDescent="0.25">
      <c r="A7" s="1106"/>
      <c r="B7" s="1110" t="s">
        <v>1725</v>
      </c>
      <c r="C7" s="1108"/>
      <c r="D7" s="1107"/>
      <c r="E7" s="1109"/>
      <c r="F7" s="972"/>
    </row>
    <row r="8" spans="1:14" x14ac:dyDescent="0.25">
      <c r="A8" s="1111"/>
      <c r="B8" s="1112"/>
      <c r="C8" s="1113"/>
      <c r="D8" s="1114"/>
      <c r="E8" s="1113"/>
      <c r="F8" s="1115"/>
    </row>
    <row r="9" spans="1:14" ht="31.8" customHeight="1" x14ac:dyDescent="0.25">
      <c r="A9" s="1007"/>
      <c r="B9" s="904" t="s">
        <v>1726</v>
      </c>
      <c r="C9" s="1116"/>
      <c r="D9" s="1031" t="s">
        <v>1362</v>
      </c>
      <c r="E9" s="1117"/>
      <c r="F9" s="1118"/>
    </row>
    <row r="10" spans="1:14" x14ac:dyDescent="0.25">
      <c r="A10" s="1007"/>
      <c r="B10" s="904"/>
      <c r="C10" s="1116"/>
      <c r="D10" s="1119"/>
      <c r="E10" s="1117"/>
      <c r="F10" s="1115"/>
    </row>
    <row r="11" spans="1:14" ht="32.4" customHeight="1" x14ac:dyDescent="0.25">
      <c r="A11" s="1007"/>
      <c r="B11" s="904" t="s">
        <v>1727</v>
      </c>
      <c r="C11" s="1120"/>
      <c r="D11" s="1121" t="s">
        <v>1362</v>
      </c>
      <c r="E11" s="1023"/>
      <c r="F11" s="1008"/>
      <c r="H11" s="1122"/>
      <c r="N11" s="1065">
        <f>4000/175</f>
        <v>22.857142857142858</v>
      </c>
    </row>
    <row r="12" spans="1:14" x14ac:dyDescent="0.25">
      <c r="A12" s="1007"/>
      <c r="B12" s="904"/>
      <c r="C12" s="1120"/>
      <c r="D12" s="1121"/>
      <c r="E12" s="1023"/>
      <c r="F12" s="1008"/>
      <c r="H12" s="1122"/>
    </row>
    <row r="13" spans="1:14" ht="33" customHeight="1" x14ac:dyDescent="0.25">
      <c r="A13" s="1007"/>
      <c r="B13" s="904" t="s">
        <v>1509</v>
      </c>
      <c r="C13" s="1120"/>
      <c r="D13" s="1121" t="s">
        <v>1362</v>
      </c>
      <c r="E13" s="1023"/>
      <c r="F13" s="1008"/>
      <c r="H13" s="1122"/>
    </row>
    <row r="14" spans="1:14" x14ac:dyDescent="0.25">
      <c r="A14" s="1007"/>
      <c r="B14" s="904"/>
      <c r="C14" s="1120"/>
      <c r="D14" s="1121"/>
      <c r="E14" s="1023"/>
      <c r="F14" s="1008"/>
      <c r="H14" s="1122"/>
    </row>
    <row r="15" spans="1:14" ht="61.2" customHeight="1" x14ac:dyDescent="0.25">
      <c r="A15" s="1007"/>
      <c r="B15" s="904" t="s">
        <v>1728</v>
      </c>
      <c r="C15" s="1120"/>
      <c r="D15" s="1121" t="s">
        <v>1362</v>
      </c>
      <c r="E15" s="1023"/>
      <c r="F15" s="1008"/>
      <c r="H15" s="1122"/>
    </row>
    <row r="16" spans="1:14" x14ac:dyDescent="0.25">
      <c r="A16" s="1007"/>
      <c r="B16" s="904"/>
      <c r="C16" s="1120"/>
      <c r="D16" s="1121"/>
      <c r="E16" s="1023"/>
      <c r="F16" s="1008"/>
      <c r="H16" s="1122"/>
    </row>
    <row r="17" spans="1:8" ht="31.2" customHeight="1" x14ac:dyDescent="0.25">
      <c r="A17" s="1007"/>
      <c r="B17" s="904" t="s">
        <v>1511</v>
      </c>
      <c r="C17" s="1120"/>
      <c r="D17" s="1121" t="s">
        <v>1362</v>
      </c>
      <c r="E17" s="1023"/>
      <c r="F17" s="1008"/>
      <c r="H17" s="1122"/>
    </row>
    <row r="18" spans="1:8" x14ac:dyDescent="0.25">
      <c r="A18" s="1007"/>
      <c r="B18" s="904"/>
      <c r="C18" s="1120"/>
      <c r="D18" s="1121"/>
      <c r="E18" s="1023"/>
      <c r="F18" s="1008"/>
      <c r="H18" s="1122"/>
    </row>
    <row r="19" spans="1:8" ht="45" customHeight="1" x14ac:dyDescent="0.25">
      <c r="A19" s="1007"/>
      <c r="B19" s="904" t="s">
        <v>1512</v>
      </c>
      <c r="C19" s="1120"/>
      <c r="D19" s="1121" t="s">
        <v>1362</v>
      </c>
      <c r="E19" s="1023"/>
      <c r="F19" s="1008"/>
      <c r="H19" s="1122"/>
    </row>
    <row r="20" spans="1:8" x14ac:dyDescent="0.25">
      <c r="A20" s="1007"/>
      <c r="B20" s="904"/>
      <c r="C20" s="1120"/>
      <c r="D20" s="1121"/>
      <c r="E20" s="1023"/>
      <c r="F20" s="1008"/>
      <c r="H20" s="1122"/>
    </row>
    <row r="21" spans="1:8" ht="44.4" customHeight="1" x14ac:dyDescent="0.25">
      <c r="A21" s="1007"/>
      <c r="B21" s="904" t="s">
        <v>1729</v>
      </c>
      <c r="C21" s="1120"/>
      <c r="D21" s="1121" t="s">
        <v>1362</v>
      </c>
      <c r="E21" s="1023"/>
      <c r="F21" s="1008"/>
      <c r="H21" s="1122"/>
    </row>
    <row r="22" spans="1:8" x14ac:dyDescent="0.25">
      <c r="A22" s="1007"/>
      <c r="B22" s="904"/>
      <c r="C22" s="1120"/>
      <c r="D22" s="1121"/>
      <c r="E22" s="1023"/>
      <c r="F22" s="1008"/>
      <c r="H22" s="1122"/>
    </row>
    <row r="23" spans="1:8" ht="47.4" customHeight="1" x14ac:dyDescent="0.25">
      <c r="A23" s="1007"/>
      <c r="B23" s="904" t="s">
        <v>1514</v>
      </c>
      <c r="C23" s="1120"/>
      <c r="D23" s="1121" t="s">
        <v>1362</v>
      </c>
      <c r="E23" s="1023"/>
      <c r="F23" s="1008"/>
      <c r="H23" s="1122"/>
    </row>
    <row r="24" spans="1:8" x14ac:dyDescent="0.25">
      <c r="A24" s="1007"/>
      <c r="B24" s="904"/>
      <c r="C24" s="1123"/>
      <c r="D24" s="1121"/>
      <c r="E24" s="1079"/>
      <c r="F24" s="1008"/>
      <c r="H24" s="1122"/>
    </row>
    <row r="25" spans="1:8" s="1045" customFormat="1" ht="58.8" customHeight="1" x14ac:dyDescent="0.25">
      <c r="A25" s="1007"/>
      <c r="B25" s="1124" t="s">
        <v>1464</v>
      </c>
      <c r="C25" s="1077"/>
      <c r="D25" s="1125" t="s">
        <v>1362</v>
      </c>
      <c r="E25" s="1079"/>
      <c r="F25" s="1008"/>
      <c r="G25" s="965"/>
    </row>
    <row r="26" spans="1:8" s="1045" customFormat="1" x14ac:dyDescent="0.25">
      <c r="A26" s="1127"/>
      <c r="B26" s="1124"/>
      <c r="C26" s="1077"/>
      <c r="D26" s="1125"/>
      <c r="E26" s="1079"/>
      <c r="F26" s="1008"/>
      <c r="G26" s="965"/>
    </row>
    <row r="27" spans="1:8" ht="62.4" customHeight="1" x14ac:dyDescent="0.25">
      <c r="A27" s="1128"/>
      <c r="B27" s="1129" t="s">
        <v>1730</v>
      </c>
      <c r="C27" s="1113"/>
      <c r="D27" s="1114" t="s">
        <v>1362</v>
      </c>
      <c r="E27" s="1113"/>
      <c r="F27" s="1115"/>
    </row>
    <row r="28" spans="1:8" x14ac:dyDescent="0.25">
      <c r="A28" s="1128"/>
      <c r="B28" s="1130"/>
      <c r="C28" s="1113"/>
      <c r="D28" s="1119"/>
      <c r="E28" s="1113"/>
      <c r="F28" s="1115"/>
    </row>
    <row r="29" spans="1:8" ht="33.6" customHeight="1" x14ac:dyDescent="0.25">
      <c r="A29" s="1128"/>
      <c r="B29" s="1129" t="s">
        <v>1731</v>
      </c>
      <c r="C29" s="1133"/>
      <c r="D29" s="678" t="s">
        <v>1362</v>
      </c>
      <c r="E29" s="1132"/>
      <c r="F29" s="1008"/>
      <c r="H29" s="1122"/>
    </row>
    <row r="30" spans="1:8" x14ac:dyDescent="0.25">
      <c r="A30" s="1134"/>
      <c r="B30" s="1135"/>
      <c r="C30" s="1136"/>
      <c r="D30" s="706"/>
      <c r="E30" s="1137"/>
      <c r="F30" s="1138"/>
      <c r="H30" s="1122"/>
    </row>
    <row r="31" spans="1:8" ht="44.4" customHeight="1" x14ac:dyDescent="0.25">
      <c r="A31" s="1453"/>
      <c r="B31" s="1454" t="s">
        <v>1732</v>
      </c>
      <c r="C31" s="1455"/>
      <c r="D31" s="1140" t="s">
        <v>1362</v>
      </c>
      <c r="E31" s="1141"/>
      <c r="F31" s="1142"/>
      <c r="H31" s="1122"/>
    </row>
    <row r="32" spans="1:8" x14ac:dyDescent="0.25">
      <c r="A32" s="1128"/>
      <c r="B32" s="904"/>
      <c r="C32" s="1133"/>
      <c r="D32" s="678"/>
      <c r="E32" s="1132"/>
      <c r="F32" s="1008"/>
      <c r="H32" s="1122"/>
    </row>
    <row r="33" spans="1:8" ht="60" customHeight="1" x14ac:dyDescent="0.25">
      <c r="A33" s="1128"/>
      <c r="B33" s="904" t="s">
        <v>1733</v>
      </c>
      <c r="C33" s="1133"/>
      <c r="D33" s="678" t="s">
        <v>1362</v>
      </c>
      <c r="E33" s="1132"/>
      <c r="F33" s="1008"/>
      <c r="H33" s="1122"/>
    </row>
    <row r="34" spans="1:8" x14ac:dyDescent="0.25">
      <c r="A34" s="1128"/>
      <c r="B34" s="904"/>
      <c r="C34" s="1133"/>
      <c r="D34" s="678"/>
      <c r="E34" s="1132"/>
      <c r="F34" s="1008"/>
      <c r="H34" s="1122"/>
    </row>
    <row r="35" spans="1:8" ht="48.6" customHeight="1" x14ac:dyDescent="0.25">
      <c r="A35" s="1128"/>
      <c r="B35" s="904" t="s">
        <v>1734</v>
      </c>
      <c r="C35" s="1133"/>
      <c r="D35" s="678" t="s">
        <v>1362</v>
      </c>
      <c r="E35" s="1132"/>
      <c r="F35" s="1008"/>
      <c r="H35" s="1122"/>
    </row>
    <row r="36" spans="1:8" x14ac:dyDescent="0.25">
      <c r="A36" s="1128"/>
      <c r="B36" s="904"/>
      <c r="C36" s="1133"/>
      <c r="D36" s="678"/>
      <c r="E36" s="1132"/>
      <c r="F36" s="1008"/>
      <c r="H36" s="1122"/>
    </row>
    <row r="37" spans="1:8" ht="45" customHeight="1" x14ac:dyDescent="0.25">
      <c r="A37" s="1128"/>
      <c r="B37" s="904" t="s">
        <v>1735</v>
      </c>
      <c r="C37" s="1133"/>
      <c r="D37" s="678" t="s">
        <v>1362</v>
      </c>
      <c r="E37" s="1132"/>
      <c r="F37" s="1008"/>
      <c r="H37" s="1122"/>
    </row>
    <row r="38" spans="1:8" x14ac:dyDescent="0.25">
      <c r="A38" s="1128"/>
      <c r="B38" s="904"/>
      <c r="C38" s="1133"/>
      <c r="D38" s="678"/>
      <c r="E38" s="1132"/>
      <c r="F38" s="1008"/>
      <c r="H38" s="1122"/>
    </row>
    <row r="39" spans="1:8" ht="52.2" customHeight="1" x14ac:dyDescent="0.25">
      <c r="A39" s="1128"/>
      <c r="B39" s="904" t="s">
        <v>1736</v>
      </c>
      <c r="C39" s="1133"/>
      <c r="D39" s="678" t="s">
        <v>1362</v>
      </c>
      <c r="E39" s="1132"/>
      <c r="F39" s="1008"/>
      <c r="H39" s="1122"/>
    </row>
    <row r="40" spans="1:8" x14ac:dyDescent="0.25">
      <c r="A40" s="1000"/>
      <c r="B40" s="904"/>
      <c r="C40" s="1435"/>
      <c r="D40" s="678"/>
      <c r="E40" s="1132"/>
      <c r="F40" s="1008"/>
      <c r="H40" s="1122"/>
    </row>
    <row r="41" spans="1:8" s="1045" customFormat="1" x14ac:dyDescent="0.25">
      <c r="A41" s="1143"/>
      <c r="B41" s="1144" t="s">
        <v>1737</v>
      </c>
      <c r="C41" s="1145"/>
      <c r="D41" s="1146"/>
      <c r="E41" s="1023"/>
      <c r="F41" s="950"/>
      <c r="G41" s="965"/>
    </row>
    <row r="42" spans="1:8" s="1045" customFormat="1" x14ac:dyDescent="0.25">
      <c r="A42" s="1143"/>
      <c r="B42" s="904"/>
      <c r="C42" s="1145"/>
      <c r="D42" s="1146"/>
      <c r="E42" s="1023"/>
      <c r="F42" s="950"/>
      <c r="G42" s="965"/>
    </row>
    <row r="43" spans="1:8" s="1045" customFormat="1" ht="31.2" customHeight="1" x14ac:dyDescent="0.25">
      <c r="A43" s="1147">
        <v>1</v>
      </c>
      <c r="B43" s="904" t="s">
        <v>1738</v>
      </c>
      <c r="C43" s="1145"/>
      <c r="D43" s="1146"/>
      <c r="E43" s="1079"/>
      <c r="F43" s="950"/>
      <c r="G43" s="965"/>
    </row>
    <row r="44" spans="1:8" s="1045" customFormat="1" x14ac:dyDescent="0.25">
      <c r="A44" s="1147"/>
      <c r="B44" s="904"/>
      <c r="C44" s="1145"/>
      <c r="D44" s="1146"/>
      <c r="E44" s="1079"/>
      <c r="F44" s="950"/>
      <c r="G44" s="965"/>
    </row>
    <row r="45" spans="1:8" s="1045" customFormat="1" ht="27.6" x14ac:dyDescent="0.25">
      <c r="A45" s="1147">
        <v>2</v>
      </c>
      <c r="B45" s="904" t="s">
        <v>1739</v>
      </c>
      <c r="C45" s="1145"/>
      <c r="D45" s="1146"/>
      <c r="E45" s="1079"/>
      <c r="F45" s="950"/>
      <c r="G45" s="965"/>
    </row>
    <row r="46" spans="1:8" s="1045" customFormat="1" x14ac:dyDescent="0.25">
      <c r="A46" s="1147"/>
      <c r="B46" s="904"/>
      <c r="C46" s="1145"/>
      <c r="D46" s="1146"/>
      <c r="E46" s="1079"/>
      <c r="F46" s="950"/>
      <c r="G46" s="965"/>
    </row>
    <row r="47" spans="1:8" s="1045" customFormat="1" ht="41.4" x14ac:dyDescent="0.25">
      <c r="A47" s="1147">
        <v>3</v>
      </c>
      <c r="B47" s="904" t="s">
        <v>1740</v>
      </c>
      <c r="C47" s="1145"/>
      <c r="D47" s="1146"/>
      <c r="E47" s="1079"/>
      <c r="F47" s="950"/>
      <c r="G47" s="965"/>
    </row>
    <row r="48" spans="1:8" s="1045" customFormat="1" x14ac:dyDescent="0.25">
      <c r="A48" s="1147"/>
      <c r="B48" s="904"/>
      <c r="C48" s="1145"/>
      <c r="D48" s="1146"/>
      <c r="E48" s="1079"/>
      <c r="F48" s="950"/>
      <c r="G48" s="965"/>
    </row>
    <row r="49" spans="1:7" s="1045" customFormat="1" ht="41.4" x14ac:dyDescent="0.25">
      <c r="A49" s="1147">
        <v>4</v>
      </c>
      <c r="B49" s="904" t="s">
        <v>1741</v>
      </c>
      <c r="C49" s="1145"/>
      <c r="D49" s="1146"/>
      <c r="E49" s="1079"/>
      <c r="F49" s="950"/>
      <c r="G49" s="965"/>
    </row>
    <row r="50" spans="1:7" s="1045" customFormat="1" x14ac:dyDescent="0.25">
      <c r="A50" s="1147"/>
      <c r="B50" s="904"/>
      <c r="C50" s="1145"/>
      <c r="D50" s="1146"/>
      <c r="E50" s="1079"/>
      <c r="F50" s="950"/>
      <c r="G50" s="965"/>
    </row>
    <row r="51" spans="1:7" s="1045" customFormat="1" ht="27.6" x14ac:dyDescent="0.25">
      <c r="A51" s="1147">
        <v>5</v>
      </c>
      <c r="B51" s="904" t="s">
        <v>1742</v>
      </c>
      <c r="C51" s="1145"/>
      <c r="D51" s="1146"/>
      <c r="E51" s="1079"/>
      <c r="F51" s="950"/>
      <c r="G51" s="965"/>
    </row>
    <row r="52" spans="1:7" s="1045" customFormat="1" x14ac:dyDescent="0.25">
      <c r="A52" s="1143"/>
      <c r="B52" s="904"/>
      <c r="C52" s="1177"/>
      <c r="D52" s="1145"/>
      <c r="E52" s="1079"/>
      <c r="F52" s="950"/>
      <c r="G52" s="965"/>
    </row>
    <row r="53" spans="1:7" s="1045" customFormat="1" ht="27.6" x14ac:dyDescent="0.25">
      <c r="A53" s="1143" t="s">
        <v>1743</v>
      </c>
      <c r="B53" s="904" t="s">
        <v>1744</v>
      </c>
      <c r="C53" s="1177"/>
      <c r="D53" s="1145"/>
      <c r="E53" s="1079"/>
      <c r="F53" s="950"/>
      <c r="G53" s="965"/>
    </row>
    <row r="54" spans="1:7" s="1045" customFormat="1" x14ac:dyDescent="0.25">
      <c r="A54" s="1147"/>
      <c r="B54" s="904"/>
      <c r="C54" s="1145"/>
      <c r="D54" s="1146"/>
      <c r="E54" s="1079"/>
      <c r="F54" s="950"/>
      <c r="G54" s="965"/>
    </row>
    <row r="55" spans="1:7" s="1045" customFormat="1" ht="27.6" x14ac:dyDescent="0.25">
      <c r="A55" s="1147"/>
      <c r="B55" s="904" t="s">
        <v>1745</v>
      </c>
      <c r="C55" s="1145"/>
      <c r="D55" s="1146"/>
      <c r="E55" s="1079"/>
      <c r="F55" s="950"/>
      <c r="G55" s="965"/>
    </row>
    <row r="56" spans="1:7" s="1045" customFormat="1" x14ac:dyDescent="0.25">
      <c r="A56" s="1148"/>
      <c r="B56" s="904"/>
      <c r="C56" s="1149"/>
      <c r="D56" s="1146"/>
      <c r="E56" s="1079"/>
      <c r="F56" s="950"/>
      <c r="G56" s="965"/>
    </row>
    <row r="57" spans="1:7" s="1045" customFormat="1" x14ac:dyDescent="0.25">
      <c r="A57" s="1148"/>
      <c r="B57" s="904"/>
      <c r="C57" s="1149"/>
      <c r="D57" s="1146"/>
      <c r="E57" s="1079"/>
      <c r="F57" s="950"/>
      <c r="G57" s="965"/>
    </row>
    <row r="58" spans="1:7" s="1045" customFormat="1" x14ac:dyDescent="0.25">
      <c r="A58" s="1148"/>
      <c r="B58" s="904"/>
      <c r="C58" s="1149"/>
      <c r="D58" s="1146"/>
      <c r="E58" s="1079"/>
      <c r="F58" s="950"/>
      <c r="G58" s="965"/>
    </row>
    <row r="59" spans="1:7" s="1045" customFormat="1" x14ac:dyDescent="0.25">
      <c r="A59" s="1148"/>
      <c r="B59" s="904"/>
      <c r="C59" s="1149"/>
      <c r="D59" s="1146"/>
      <c r="E59" s="1079"/>
      <c r="F59" s="950"/>
      <c r="G59" s="965"/>
    </row>
    <row r="60" spans="1:7" s="1045" customFormat="1" x14ac:dyDescent="0.25">
      <c r="A60" s="1148"/>
      <c r="B60" s="904"/>
      <c r="C60" s="1149"/>
      <c r="D60" s="1146"/>
      <c r="E60" s="1079"/>
      <c r="F60" s="950"/>
      <c r="G60" s="965"/>
    </row>
    <row r="61" spans="1:7" s="1045" customFormat="1" x14ac:dyDescent="0.25">
      <c r="A61" s="1148"/>
      <c r="B61" s="904"/>
      <c r="C61" s="1149"/>
      <c r="D61" s="1146"/>
      <c r="E61" s="1079"/>
      <c r="F61" s="950"/>
      <c r="G61" s="965"/>
    </row>
    <row r="62" spans="1:7" s="1045" customFormat="1" x14ac:dyDescent="0.25">
      <c r="A62" s="1148"/>
      <c r="B62" s="904"/>
      <c r="C62" s="1149"/>
      <c r="D62" s="1146"/>
      <c r="E62" s="1079"/>
      <c r="F62" s="950"/>
      <c r="G62" s="965"/>
    </row>
    <row r="63" spans="1:7" s="1045" customFormat="1" x14ac:dyDescent="0.25">
      <c r="A63" s="1148"/>
      <c r="B63" s="904"/>
      <c r="C63" s="1149"/>
      <c r="D63" s="1146"/>
      <c r="E63" s="1079"/>
      <c r="F63" s="950"/>
      <c r="G63" s="965"/>
    </row>
    <row r="64" spans="1:7" s="1045" customFormat="1" x14ac:dyDescent="0.25">
      <c r="A64" s="1456"/>
      <c r="B64" s="1135"/>
      <c r="C64" s="1457"/>
      <c r="D64" s="1458"/>
      <c r="E64" s="1459"/>
      <c r="F64" s="1321"/>
      <c r="G64" s="965"/>
    </row>
    <row r="65" spans="1:23" x14ac:dyDescent="0.25">
      <c r="A65" s="1460"/>
      <c r="B65" s="1461" t="s">
        <v>1746</v>
      </c>
      <c r="C65" s="1462"/>
      <c r="D65" s="1463"/>
      <c r="E65" s="1462"/>
      <c r="F65" s="1464"/>
    </row>
    <row r="66" spans="1:23" s="1045" customFormat="1" x14ac:dyDescent="0.25">
      <c r="A66" s="1150"/>
      <c r="B66" s="904"/>
      <c r="C66" s="1151"/>
      <c r="D66" s="1146"/>
      <c r="E66" s="1023"/>
      <c r="F66" s="950"/>
      <c r="G66" s="965"/>
    </row>
    <row r="67" spans="1:23" ht="89.4" customHeight="1" x14ac:dyDescent="0.25">
      <c r="A67" s="1010">
        <f>IF(C67:C68&gt;0,COUNT(C$67:C67),"")</f>
        <v>1</v>
      </c>
      <c r="B67" s="904" t="s">
        <v>1747</v>
      </c>
      <c r="C67" s="1077">
        <v>126</v>
      </c>
      <c r="D67" s="1152" t="s">
        <v>1748</v>
      </c>
      <c r="E67" s="1023">
        <v>6100</v>
      </c>
      <c r="F67" s="950">
        <f>E67*C67</f>
        <v>768600</v>
      </c>
      <c r="H67" s="1122"/>
    </row>
    <row r="68" spans="1:23" x14ac:dyDescent="0.25">
      <c r="A68" s="1010" t="str">
        <f>IF(C68:C69&gt;0,COUNT(C$67:C68),"")</f>
        <v/>
      </c>
      <c r="B68" s="904"/>
      <c r="C68" s="1077"/>
      <c r="D68" s="1152"/>
      <c r="E68" s="1023"/>
      <c r="F68" s="950"/>
      <c r="H68" s="1122"/>
    </row>
    <row r="69" spans="1:23" ht="60.6" customHeight="1" x14ac:dyDescent="0.25">
      <c r="A69" s="1010">
        <f>IF(C69:C70&gt;0,COUNT(C$67:C69),"")</f>
        <v>2</v>
      </c>
      <c r="B69" s="904" t="s">
        <v>1749</v>
      </c>
      <c r="C69" s="1077">
        <v>1</v>
      </c>
      <c r="D69" s="1152" t="s">
        <v>13</v>
      </c>
      <c r="E69" s="1023">
        <v>95000</v>
      </c>
      <c r="F69" s="950">
        <f>E69*C69</f>
        <v>95000</v>
      </c>
      <c r="H69" s="1122"/>
    </row>
    <row r="70" spans="1:23" x14ac:dyDescent="0.25">
      <c r="A70" s="1010" t="str">
        <f>IF(C70:C71&gt;0,COUNT(C$67:C70),"")</f>
        <v/>
      </c>
      <c r="B70" s="904"/>
      <c r="C70" s="1077"/>
      <c r="D70" s="1152"/>
      <c r="E70" s="1023"/>
      <c r="F70" s="950"/>
      <c r="H70" s="1122"/>
    </row>
    <row r="71" spans="1:23" ht="46.2" customHeight="1" x14ac:dyDescent="0.25">
      <c r="A71" s="1010" t="str">
        <f>IF(C71:C72&gt;0,COUNT(C$67:C71),"")</f>
        <v/>
      </c>
      <c r="B71" s="904" t="s">
        <v>1750</v>
      </c>
      <c r="C71" s="1077"/>
      <c r="D71" s="1152" t="s">
        <v>1362</v>
      </c>
      <c r="E71" s="1023"/>
      <c r="F71" s="950"/>
      <c r="H71" s="1122"/>
    </row>
    <row r="72" spans="1:23" x14ac:dyDescent="0.25">
      <c r="A72" s="1010" t="str">
        <f>IF(C72:C73&gt;0,COUNT(C$67:C72),"")</f>
        <v/>
      </c>
      <c r="B72" s="904"/>
      <c r="C72" s="1077"/>
      <c r="D72" s="1152"/>
      <c r="E72" s="1023"/>
      <c r="F72" s="950"/>
      <c r="H72" s="1122"/>
    </row>
    <row r="73" spans="1:23" ht="73.8" customHeight="1" x14ac:dyDescent="0.25">
      <c r="A73" s="1010">
        <f>IF(C73:C73&gt;0,COUNT(C$67:C73),"")</f>
        <v>3</v>
      </c>
      <c r="B73" s="904" t="s">
        <v>1751</v>
      </c>
      <c r="C73" s="1077">
        <v>78</v>
      </c>
      <c r="D73" s="1152" t="s">
        <v>1748</v>
      </c>
      <c r="E73" s="1132">
        <v>2950</v>
      </c>
      <c r="F73" s="950">
        <f>E73*C73</f>
        <v>230100</v>
      </c>
      <c r="H73" s="1122"/>
    </row>
    <row r="74" spans="1:23" x14ac:dyDescent="0.25">
      <c r="A74" s="1010" t="str">
        <f>IF(C74:C74&gt;0,COUNT(C$67:C74),"")</f>
        <v/>
      </c>
      <c r="B74" s="904"/>
      <c r="C74" s="1077"/>
      <c r="D74" s="1152"/>
      <c r="E74" s="1023"/>
      <c r="F74" s="950"/>
      <c r="H74" s="1122"/>
    </row>
    <row r="75" spans="1:23" ht="75" customHeight="1" x14ac:dyDescent="0.25">
      <c r="A75" s="1010">
        <f>IF(C75:C75&gt;0,COUNT(C$67:C75),"")</f>
        <v>4</v>
      </c>
      <c r="B75" s="904" t="s">
        <v>1752</v>
      </c>
      <c r="C75" s="1077">
        <v>81</v>
      </c>
      <c r="D75" s="1152" t="s">
        <v>1748</v>
      </c>
      <c r="E75" s="1132">
        <v>2950</v>
      </c>
      <c r="F75" s="950">
        <f>E75*C75</f>
        <v>238950</v>
      </c>
      <c r="H75" s="1122"/>
    </row>
    <row r="76" spans="1:23" x14ac:dyDescent="0.25">
      <c r="A76" s="1010" t="str">
        <f>IF(C76:C76&gt;0,COUNT(C$67:C76),"")</f>
        <v/>
      </c>
      <c r="B76" s="904"/>
      <c r="C76" s="1077"/>
      <c r="D76" s="1152"/>
      <c r="E76" s="1023"/>
      <c r="F76" s="950"/>
      <c r="H76" s="1122"/>
    </row>
    <row r="77" spans="1:23" ht="85.2" customHeight="1" x14ac:dyDescent="0.25">
      <c r="A77" s="1010">
        <f>IF(C77:C77&gt;0,COUNT(C$67:C77),"")</f>
        <v>5</v>
      </c>
      <c r="B77" s="904" t="s">
        <v>1753</v>
      </c>
      <c r="C77" s="1077">
        <v>153</v>
      </c>
      <c r="D77" s="1152" t="s">
        <v>1748</v>
      </c>
      <c r="E77" s="1023">
        <v>1950</v>
      </c>
      <c r="F77" s="950">
        <f>E77*C77</f>
        <v>298350</v>
      </c>
      <c r="H77" s="1122"/>
    </row>
    <row r="78" spans="1:23" s="1045" customFormat="1" x14ac:dyDescent="0.25">
      <c r="A78" s="1010" t="str">
        <f>IF(C78:C78&gt;0,COUNT(C$67:C78),"")</f>
        <v/>
      </c>
      <c r="B78" s="904"/>
      <c r="C78" s="1153"/>
      <c r="D78" s="1154"/>
      <c r="E78" s="949"/>
      <c r="F78" s="950"/>
      <c r="U78" s="1046"/>
      <c r="V78" s="1004"/>
      <c r="W78" s="1046"/>
    </row>
    <row r="79" spans="1:23" s="1045" customFormat="1" ht="72.599999999999994" customHeight="1" x14ac:dyDescent="0.25">
      <c r="A79" s="1010">
        <f>IF(C79:C79&gt;0,COUNT(C$67:C79),"")</f>
        <v>6</v>
      </c>
      <c r="B79" s="904" t="s">
        <v>1754</v>
      </c>
      <c r="C79" s="1077">
        <v>5</v>
      </c>
      <c r="D79" s="1152" t="s">
        <v>1291</v>
      </c>
      <c r="E79" s="949">
        <v>9500</v>
      </c>
      <c r="F79" s="1155">
        <f>E79*C79</f>
        <v>47500</v>
      </c>
      <c r="U79" s="1046"/>
      <c r="V79" s="1004"/>
      <c r="W79" s="1046"/>
    </row>
    <row r="80" spans="1:23" x14ac:dyDescent="0.25">
      <c r="A80" s="1010" t="str">
        <f>IF(C80:C80&gt;0,COUNT(C$67:C80),"")</f>
        <v/>
      </c>
      <c r="B80" s="904"/>
      <c r="C80" s="1077"/>
      <c r="D80" s="1152"/>
      <c r="E80" s="1023"/>
      <c r="F80" s="950"/>
      <c r="H80" s="1122"/>
    </row>
    <row r="81" spans="1:28" ht="74.400000000000006" customHeight="1" x14ac:dyDescent="0.25">
      <c r="A81" s="1010">
        <f>IF(C81:C81&gt;0,COUNT(C$67:C81),"")</f>
        <v>7</v>
      </c>
      <c r="B81" s="904" t="s">
        <v>1755</v>
      </c>
      <c r="C81" s="1077">
        <v>5</v>
      </c>
      <c r="D81" s="1152" t="s">
        <v>1291</v>
      </c>
      <c r="E81" s="1023">
        <v>11250</v>
      </c>
      <c r="F81" s="950">
        <f>E81*C81</f>
        <v>56250</v>
      </c>
      <c r="H81" s="1122"/>
    </row>
    <row r="82" spans="1:28" x14ac:dyDescent="0.25">
      <c r="A82" s="1396" t="str">
        <f>IF(C82:C82&gt;0,COUNT(C$67:C82),"")</f>
        <v/>
      </c>
      <c r="B82" s="1135"/>
      <c r="C82" s="1465"/>
      <c r="D82" s="1466"/>
      <c r="E82" s="1467"/>
      <c r="F82" s="1138"/>
      <c r="G82" s="1132"/>
      <c r="H82" s="1156"/>
      <c r="I82" s="1126"/>
      <c r="J82" s="1122"/>
    </row>
    <row r="83" spans="1:28" ht="105" customHeight="1" x14ac:dyDescent="0.25">
      <c r="A83" s="1398">
        <f>IF(C83:C83&gt;0,COUNT(C$67:C83),"")</f>
        <v>8</v>
      </c>
      <c r="B83" s="1139" t="s">
        <v>1756</v>
      </c>
      <c r="C83" s="1468">
        <v>1</v>
      </c>
      <c r="D83" s="1469" t="s">
        <v>13</v>
      </c>
      <c r="E83" s="1470">
        <v>80000</v>
      </c>
      <c r="F83" s="1383">
        <f>E83*C83</f>
        <v>80000</v>
      </c>
      <c r="H83" s="1157"/>
    </row>
    <row r="84" spans="1:28" x14ac:dyDescent="0.25">
      <c r="A84" s="1010" t="str">
        <f>IF(C84:C84&gt;0,COUNT(C$67:C84),"")</f>
        <v/>
      </c>
      <c r="B84" s="904"/>
      <c r="C84" s="1077"/>
      <c r="D84" s="1152"/>
      <c r="E84" s="1023"/>
      <c r="F84" s="950"/>
      <c r="H84" s="1157"/>
    </row>
    <row r="85" spans="1:28" ht="46.2" customHeight="1" x14ac:dyDescent="0.25">
      <c r="A85" s="1010" t="str">
        <f>IF(C85:C85&gt;0,COUNT(C$67:C85),"")</f>
        <v/>
      </c>
      <c r="B85" s="904" t="s">
        <v>1757</v>
      </c>
      <c r="C85" s="1077"/>
      <c r="D85" s="1152" t="s">
        <v>1362</v>
      </c>
      <c r="E85" s="1023"/>
      <c r="F85" s="950"/>
      <c r="H85" s="1157"/>
    </row>
    <row r="86" spans="1:28" x14ac:dyDescent="0.25">
      <c r="A86" s="1010" t="str">
        <f>IF(C86:C86&gt;0,COUNT(C$67:C86),"")</f>
        <v/>
      </c>
      <c r="B86" s="904"/>
      <c r="C86" s="1077"/>
      <c r="D86" s="1152"/>
      <c r="E86" s="1023"/>
      <c r="F86" s="950"/>
      <c r="H86" s="1122"/>
    </row>
    <row r="87" spans="1:28" x14ac:dyDescent="0.25">
      <c r="A87" s="1010" t="str">
        <f>IF(C87:C87&gt;0,COUNT(C$67:C87),"")</f>
        <v/>
      </c>
      <c r="B87" s="1158" t="s">
        <v>1758</v>
      </c>
      <c r="C87" s="1077"/>
      <c r="D87" s="1152"/>
      <c r="E87" s="1023"/>
      <c r="F87" s="950"/>
      <c r="H87" s="1122"/>
    </row>
    <row r="88" spans="1:28" ht="30" customHeight="1" x14ac:dyDescent="0.25">
      <c r="A88" s="1010">
        <f>IF(C88:C88&gt;0,COUNT(C$67:C88),"")</f>
        <v>9</v>
      </c>
      <c r="B88" s="952" t="s">
        <v>1759</v>
      </c>
      <c r="C88" s="1077">
        <v>1</v>
      </c>
      <c r="D88" s="1152" t="s">
        <v>13</v>
      </c>
      <c r="E88" s="1023">
        <v>25000</v>
      </c>
      <c r="F88" s="950">
        <f>E88*C88</f>
        <v>25000</v>
      </c>
      <c r="H88" s="1122"/>
    </row>
    <row r="89" spans="1:28" x14ac:dyDescent="0.25">
      <c r="A89" s="1010" t="str">
        <f>IF(C89:C89&gt;0,COUNT(C$67:C89),"")</f>
        <v/>
      </c>
      <c r="B89" s="1159"/>
      <c r="C89" s="1077"/>
      <c r="D89" s="1152"/>
      <c r="E89" s="1023"/>
      <c r="F89" s="950"/>
      <c r="H89" s="1122"/>
    </row>
    <row r="90" spans="1:28" x14ac:dyDescent="0.25">
      <c r="A90" s="1010" t="str">
        <f>IF(C90:C90&gt;0,COUNT(C$67:C90),"")</f>
        <v/>
      </c>
      <c r="B90" s="1158" t="s">
        <v>1760</v>
      </c>
      <c r="C90" s="1077"/>
      <c r="D90" s="1152"/>
      <c r="E90" s="1023"/>
      <c r="F90" s="950"/>
      <c r="H90" s="1122"/>
    </row>
    <row r="91" spans="1:28" ht="31.8" customHeight="1" x14ac:dyDescent="0.25">
      <c r="A91" s="1010">
        <f>IF(C91:C91&gt;0,COUNT(C$67:C91),"")</f>
        <v>10</v>
      </c>
      <c r="B91" s="952" t="s">
        <v>1761</v>
      </c>
      <c r="C91" s="1077">
        <v>1</v>
      </c>
      <c r="D91" s="1152" t="s">
        <v>13</v>
      </c>
      <c r="E91" s="1023">
        <v>25000</v>
      </c>
      <c r="F91" s="950">
        <f>E91*C91</f>
        <v>25000</v>
      </c>
      <c r="H91" s="1122"/>
      <c r="Z91" s="1066"/>
      <c r="AA91" s="1160"/>
      <c r="AB91" s="1066"/>
    </row>
    <row r="92" spans="1:28" x14ac:dyDescent="0.25">
      <c r="A92" s="1010" t="str">
        <f>IF(C92:C92&gt;0,COUNT(C$67:C92),"")</f>
        <v/>
      </c>
      <c r="B92" s="946"/>
      <c r="C92" s="947"/>
      <c r="D92" s="1152"/>
      <c r="E92" s="1023"/>
      <c r="F92" s="950"/>
      <c r="H92" s="1122"/>
      <c r="Z92" s="1066"/>
      <c r="AA92" s="1160"/>
      <c r="AB92" s="1066"/>
    </row>
    <row r="93" spans="1:28" s="1163" customFormat="1" x14ac:dyDescent="0.25">
      <c r="A93" s="1010" t="str">
        <f>IF(C93:C93&gt;0,COUNT(C$67:C93),"")</f>
        <v/>
      </c>
      <c r="B93" s="1158" t="s">
        <v>1693</v>
      </c>
      <c r="C93" s="947"/>
      <c r="D93" s="1161"/>
      <c r="E93" s="1023"/>
      <c r="F93" s="1162"/>
    </row>
    <row r="94" spans="1:28" s="1163" customFormat="1" ht="74.400000000000006" customHeight="1" x14ac:dyDescent="0.25">
      <c r="A94" s="1010">
        <f>IF(C94:C94&gt;0,COUNT(C$67:C94),"")</f>
        <v>11</v>
      </c>
      <c r="B94" s="1164" t="s">
        <v>1762</v>
      </c>
      <c r="C94" s="1077">
        <v>1</v>
      </c>
      <c r="D94" s="1152" t="s">
        <v>13</v>
      </c>
      <c r="E94" s="1023"/>
      <c r="F94" s="950">
        <f>E94*C94</f>
        <v>0</v>
      </c>
    </row>
    <row r="95" spans="1:28" s="1163" customFormat="1" x14ac:dyDescent="0.25">
      <c r="A95" s="1010"/>
      <c r="B95" s="1164"/>
      <c r="C95" s="1165"/>
      <c r="D95" s="1152"/>
      <c r="E95" s="1132"/>
      <c r="F95" s="950"/>
    </row>
    <row r="96" spans="1:28" s="1171" customFormat="1" x14ac:dyDescent="0.25">
      <c r="A96" s="1166"/>
      <c r="B96" s="1167" t="s">
        <v>1763</v>
      </c>
      <c r="C96" s="1168"/>
      <c r="D96" s="1168"/>
      <c r="E96" s="1169" t="s">
        <v>1764</v>
      </c>
      <c r="F96" s="1170">
        <f>SUM(F67:F95)</f>
        <v>1864750</v>
      </c>
    </row>
    <row r="97" spans="1:23" s="1045" customFormat="1" x14ac:dyDescent="0.25">
      <c r="A97" s="1417" t="str">
        <f>IF(C97&gt;0,COUNT(C$67:C97),"")</f>
        <v/>
      </c>
      <c r="B97" s="1172"/>
      <c r="C97" s="1173"/>
      <c r="D97" s="1174"/>
      <c r="E97" s="1175"/>
      <c r="F97" s="1471"/>
      <c r="U97" s="1046"/>
      <c r="V97" s="1004"/>
      <c r="W97" s="1046"/>
    </row>
    <row r="98" spans="1:23" s="1045" customFormat="1" ht="27.6" x14ac:dyDescent="0.25">
      <c r="A98" s="1150"/>
      <c r="B98" s="1176" t="s">
        <v>1765</v>
      </c>
      <c r="C98" s="1177"/>
      <c r="D98" s="1151"/>
      <c r="E98" s="1079"/>
      <c r="F98" s="1155"/>
      <c r="G98" s="965"/>
    </row>
    <row r="99" spans="1:23" s="1045" customFormat="1" x14ac:dyDescent="0.25">
      <c r="A99" s="1150"/>
      <c r="B99" s="1178"/>
      <c r="C99" s="1079"/>
      <c r="D99" s="1179"/>
      <c r="E99" s="1079"/>
      <c r="F99" s="1155"/>
      <c r="G99" s="965"/>
    </row>
    <row r="100" spans="1:23" s="1045" customFormat="1" ht="27.6" x14ac:dyDescent="0.25">
      <c r="A100" s="1150"/>
      <c r="B100" s="1178" t="s">
        <v>1766</v>
      </c>
      <c r="C100" s="1177"/>
      <c r="D100" s="1151"/>
      <c r="E100" s="1079"/>
      <c r="F100" s="1155"/>
      <c r="G100" s="965"/>
    </row>
    <row r="101" spans="1:23" s="1045" customFormat="1" x14ac:dyDescent="0.25">
      <c r="A101" s="1150"/>
      <c r="B101" s="1178"/>
      <c r="C101" s="1079"/>
      <c r="D101" s="1179"/>
      <c r="E101" s="1079"/>
      <c r="F101" s="1155"/>
      <c r="G101" s="965"/>
    </row>
    <row r="102" spans="1:23" s="1045" customFormat="1" ht="27.6" x14ac:dyDescent="0.25">
      <c r="A102" s="1150"/>
      <c r="B102" s="1178" t="s">
        <v>1767</v>
      </c>
      <c r="C102" s="1177"/>
      <c r="D102" s="1151"/>
      <c r="E102" s="1079"/>
      <c r="F102" s="1155"/>
      <c r="G102" s="965"/>
    </row>
    <row r="103" spans="1:23" s="1045" customFormat="1" x14ac:dyDescent="0.25">
      <c r="A103" s="1150"/>
      <c r="B103" s="1178"/>
      <c r="C103" s="1177"/>
      <c r="D103" s="1151"/>
      <c r="E103" s="1079"/>
      <c r="F103" s="1155"/>
      <c r="G103" s="965"/>
    </row>
    <row r="104" spans="1:23" s="1045" customFormat="1" ht="27.6" x14ac:dyDescent="0.25">
      <c r="A104" s="1150"/>
      <c r="B104" s="1178" t="s">
        <v>1768</v>
      </c>
      <c r="C104" s="1177"/>
      <c r="D104" s="1151"/>
      <c r="E104" s="1079"/>
      <c r="F104" s="1155"/>
      <c r="G104" s="965"/>
    </row>
    <row r="105" spans="1:23" s="1045" customFormat="1" x14ac:dyDescent="0.25">
      <c r="A105" s="1150"/>
      <c r="B105" s="1178"/>
      <c r="C105" s="1177"/>
      <c r="D105" s="1151"/>
      <c r="E105" s="1079"/>
      <c r="F105" s="1155"/>
      <c r="G105" s="965"/>
    </row>
    <row r="106" spans="1:23" s="1045" customFormat="1" ht="27.6" x14ac:dyDescent="0.25">
      <c r="A106" s="1150"/>
      <c r="B106" s="1178" t="s">
        <v>1769</v>
      </c>
      <c r="C106" s="1177"/>
      <c r="D106" s="1151"/>
      <c r="E106" s="1079"/>
      <c r="F106" s="1155"/>
      <c r="G106" s="965"/>
    </row>
    <row r="107" spans="1:23" s="1045" customFormat="1" x14ac:dyDescent="0.25">
      <c r="A107" s="1150"/>
      <c r="B107" s="1178"/>
      <c r="C107" s="1177"/>
      <c r="D107" s="1151"/>
      <c r="E107" s="1079"/>
      <c r="F107" s="1155"/>
      <c r="G107" s="965"/>
    </row>
    <row r="108" spans="1:23" s="1045" customFormat="1" ht="27.6" x14ac:dyDescent="0.25">
      <c r="A108" s="1150"/>
      <c r="B108" s="1178" t="s">
        <v>1770</v>
      </c>
      <c r="C108" s="1177"/>
      <c r="D108" s="1151"/>
      <c r="E108" s="1079"/>
      <c r="F108" s="1155"/>
      <c r="G108" s="965"/>
    </row>
    <row r="109" spans="1:23" s="1045" customFormat="1" x14ac:dyDescent="0.25">
      <c r="A109" s="1150"/>
      <c r="B109" s="1178"/>
      <c r="C109" s="1177"/>
      <c r="D109" s="1151"/>
      <c r="E109" s="1079"/>
      <c r="F109" s="1155"/>
      <c r="G109" s="965"/>
    </row>
    <row r="110" spans="1:23" s="1045" customFormat="1" ht="27.6" x14ac:dyDescent="0.25">
      <c r="A110" s="1150"/>
      <c r="B110" s="1178" t="s">
        <v>1771</v>
      </c>
      <c r="C110" s="1177"/>
      <c r="D110" s="1151"/>
      <c r="E110" s="1079"/>
      <c r="F110" s="1155"/>
      <c r="G110" s="965"/>
    </row>
    <row r="111" spans="1:23" s="1171" customFormat="1" ht="13.2" x14ac:dyDescent="0.25">
      <c r="A111" s="1472"/>
      <c r="B111" s="1473"/>
      <c r="C111" s="1474"/>
      <c r="D111" s="1475"/>
      <c r="E111" s="1476"/>
      <c r="F111" s="1477"/>
    </row>
    <row r="112" spans="1:23" s="1180" customFormat="1" ht="55.2" x14ac:dyDescent="0.25">
      <c r="A112" s="1478"/>
      <c r="B112" s="1281" t="s">
        <v>1713</v>
      </c>
      <c r="C112" s="1479"/>
      <c r="D112" s="1479"/>
      <c r="E112" s="1480"/>
      <c r="F112" s="1481"/>
    </row>
    <row r="113" spans="1:6" s="1180" customFormat="1" x14ac:dyDescent="0.25">
      <c r="A113" s="1482"/>
      <c r="B113" s="1483"/>
      <c r="C113" s="1483"/>
      <c r="D113" s="1483"/>
      <c r="E113" s="1484"/>
      <c r="F113" s="1485"/>
    </row>
    <row r="114" spans="1:6" s="1171" customFormat="1" ht="41.4" x14ac:dyDescent="0.25">
      <c r="A114" s="1486"/>
      <c r="B114" s="1487" t="s">
        <v>1714</v>
      </c>
      <c r="C114" s="1487"/>
      <c r="D114" s="1487"/>
      <c r="E114" s="1488"/>
      <c r="F114" s="1489"/>
    </row>
    <row r="115" spans="1:6" s="1171" customFormat="1" x14ac:dyDescent="0.25">
      <c r="A115" s="1490"/>
      <c r="B115" s="1357"/>
      <c r="C115" s="1357"/>
      <c r="D115" s="1357"/>
      <c r="E115" s="1491"/>
      <c r="F115" s="1477"/>
    </row>
    <row r="116" spans="1:6" s="1171" customFormat="1" ht="41.4" x14ac:dyDescent="0.25">
      <c r="A116" s="1490"/>
      <c r="B116" s="1281" t="s">
        <v>1715</v>
      </c>
      <c r="C116" s="1281"/>
      <c r="D116" s="1281"/>
      <c r="E116" s="1491"/>
      <c r="F116" s="1477"/>
    </row>
    <row r="117" spans="1:6" s="1171" customFormat="1" x14ac:dyDescent="0.25">
      <c r="A117" s="1490"/>
      <c r="B117" s="1235"/>
      <c r="C117" s="1492"/>
      <c r="D117" s="56"/>
      <c r="E117" s="1491"/>
      <c r="F117" s="1477"/>
    </row>
    <row r="118" spans="1:6" s="1171" customFormat="1" x14ac:dyDescent="0.25">
      <c r="A118" s="1490"/>
      <c r="B118" s="1235"/>
      <c r="C118" s="1492"/>
      <c r="D118" s="56"/>
      <c r="E118" s="1491"/>
      <c r="F118" s="1477"/>
    </row>
    <row r="119" spans="1:6" s="1171" customFormat="1" x14ac:dyDescent="0.25">
      <c r="A119" s="1490"/>
      <c r="B119" s="1235"/>
      <c r="C119" s="1492"/>
      <c r="D119" s="56"/>
      <c r="E119" s="1491"/>
      <c r="F119" s="1477"/>
    </row>
    <row r="120" spans="1:6" s="1171" customFormat="1" x14ac:dyDescent="0.25">
      <c r="A120" s="1490"/>
      <c r="B120" s="1235"/>
      <c r="C120" s="1492"/>
      <c r="D120" s="56"/>
      <c r="E120" s="1491"/>
      <c r="F120" s="1477"/>
    </row>
    <row r="121" spans="1:6" s="1171" customFormat="1" x14ac:dyDescent="0.25">
      <c r="A121" s="1490"/>
      <c r="B121" s="1275" t="s">
        <v>1716</v>
      </c>
      <c r="C121" s="1492"/>
      <c r="D121" s="56"/>
      <c r="E121" s="1491"/>
      <c r="F121" s="1477"/>
    </row>
    <row r="122" spans="1:6" s="1171" customFormat="1" x14ac:dyDescent="0.25">
      <c r="A122" s="1490"/>
      <c r="B122" s="1275"/>
      <c r="C122" s="1492"/>
      <c r="D122" s="56"/>
      <c r="E122" s="1491"/>
      <c r="F122" s="1477"/>
    </row>
    <row r="123" spans="1:6" s="1171" customFormat="1" x14ac:dyDescent="0.25">
      <c r="A123" s="1490"/>
      <c r="B123" s="1275"/>
      <c r="C123" s="1492"/>
      <c r="D123" s="56"/>
      <c r="E123" s="1491"/>
      <c r="F123" s="1477"/>
    </row>
    <row r="124" spans="1:6" s="1171" customFormat="1" x14ac:dyDescent="0.25">
      <c r="A124" s="1490"/>
      <c r="B124" s="1275"/>
      <c r="C124" s="1492"/>
      <c r="D124" s="56"/>
      <c r="E124" s="1491"/>
      <c r="F124" s="1477"/>
    </row>
    <row r="125" spans="1:6" s="1171" customFormat="1" x14ac:dyDescent="0.25">
      <c r="A125" s="1490"/>
      <c r="B125" s="1275" t="s">
        <v>1717</v>
      </c>
      <c r="C125" s="1492"/>
      <c r="D125" s="56"/>
      <c r="E125" s="1491"/>
      <c r="F125" s="1477"/>
    </row>
    <row r="126" spans="1:6" s="1171" customFormat="1" x14ac:dyDescent="0.25">
      <c r="A126" s="1490"/>
      <c r="B126" s="1275"/>
      <c r="C126" s="1492"/>
      <c r="D126" s="56"/>
      <c r="E126" s="1491"/>
      <c r="F126" s="1477"/>
    </row>
    <row r="127" spans="1:6" s="1171" customFormat="1" x14ac:dyDescent="0.25">
      <c r="A127" s="1490"/>
      <c r="B127" s="1275"/>
      <c r="C127" s="1492"/>
      <c r="D127" s="56"/>
      <c r="E127" s="1491"/>
      <c r="F127" s="1477"/>
    </row>
    <row r="128" spans="1:6" s="1171" customFormat="1" x14ac:dyDescent="0.25">
      <c r="A128" s="1490"/>
      <c r="B128" s="1275"/>
      <c r="C128" s="1492"/>
      <c r="D128" s="1235"/>
      <c r="E128" s="1491"/>
      <c r="F128" s="1477"/>
    </row>
    <row r="129" spans="1:6" s="1171" customFormat="1" x14ac:dyDescent="0.25">
      <c r="A129" s="1490"/>
      <c r="B129" s="1275" t="s">
        <v>1718</v>
      </c>
      <c r="C129" s="1492"/>
      <c r="D129" s="1235"/>
      <c r="E129" s="1491"/>
      <c r="F129" s="1477"/>
    </row>
    <row r="130" spans="1:6" s="1171" customFormat="1" x14ac:dyDescent="0.25">
      <c r="A130" s="1490"/>
      <c r="B130" s="1275"/>
      <c r="C130" s="1492"/>
      <c r="D130" s="1235"/>
      <c r="E130" s="1491"/>
      <c r="F130" s="1477"/>
    </row>
    <row r="131" spans="1:6" s="1171" customFormat="1" x14ac:dyDescent="0.25">
      <c r="A131" s="1490"/>
      <c r="B131" s="1275"/>
      <c r="C131" s="1492"/>
      <c r="D131" s="1235"/>
      <c r="E131" s="1491"/>
      <c r="F131" s="1477"/>
    </row>
    <row r="132" spans="1:6" s="1171" customFormat="1" ht="13.2" x14ac:dyDescent="0.25">
      <c r="A132" s="1490"/>
      <c r="B132" s="1493"/>
      <c r="C132" s="1494"/>
      <c r="D132" s="1495"/>
      <c r="E132" s="1496"/>
      <c r="F132" s="1477"/>
    </row>
    <row r="133" spans="1:6" s="1171" customFormat="1" ht="13.2" x14ac:dyDescent="0.25">
      <c r="A133" s="1490"/>
      <c r="B133" s="1493"/>
      <c r="C133" s="1494"/>
      <c r="D133" s="1495"/>
      <c r="E133" s="1496"/>
      <c r="F133" s="1477"/>
    </row>
    <row r="134" spans="1:6" s="1171" customFormat="1" x14ac:dyDescent="0.25">
      <c r="A134" s="1497"/>
      <c r="B134" s="1498" t="s">
        <v>1719</v>
      </c>
      <c r="C134" s="1499"/>
      <c r="D134" s="1500"/>
      <c r="E134" s="1501"/>
      <c r="F134" s="1502"/>
    </row>
    <row r="135" spans="1:6" s="1171" customFormat="1" ht="13.2" x14ac:dyDescent="0.25"/>
    <row r="136" spans="1:6" x14ac:dyDescent="0.25">
      <c r="A136" s="1181"/>
      <c r="B136" s="1182"/>
      <c r="C136" s="1131"/>
      <c r="D136" s="1183"/>
      <c r="E136" s="1184"/>
      <c r="F136" s="1156"/>
    </row>
    <row r="137" spans="1:6" s="1171" customFormat="1" ht="13.2" x14ac:dyDescent="0.25"/>
    <row r="138" spans="1:6" x14ac:dyDescent="0.25">
      <c r="A138" s="1181"/>
      <c r="B138" s="1182"/>
      <c r="C138" s="1131"/>
      <c r="D138" s="1183"/>
      <c r="E138" s="1184"/>
      <c r="F138" s="1156"/>
    </row>
  </sheetData>
  <protectedRanges>
    <protectedRange password="D55D" sqref="B66" name="Range1_3_1_1_1_1_1_2_8_1_1"/>
    <protectedRange password="D55D" sqref="B67" name="Range1_3_1_1_6_2_1"/>
    <protectedRange password="D55D" sqref="B29:B30 B32:B40" name="Range1_3_1_1_1_1"/>
    <protectedRange password="D55D" sqref="B31" name="Range1_3_1_1_3_1_1"/>
    <protectedRange password="D55D" sqref="B13" name="Range1_3_1_1_3_2_1"/>
    <protectedRange password="D55D" sqref="B44 B46 B48 B50:B51 B41:B42 B54" name="Range1_3_1_1_1_1_1_2_1_1"/>
    <protectedRange password="D55D" sqref="B55:B64" name="Range1_3_1_1_1_1_1_2_8_1_1_1"/>
    <protectedRange password="D55D" sqref="B43" name="Range1_3_1_1_1_1_1_2_11_1_1"/>
    <protectedRange password="D55D" sqref="B45" name="Range1_3_1_1_1_1_1_2_12_1_1"/>
    <protectedRange password="D55D" sqref="B47" name="Range1_3_1_1_1_1_1_2_13_1_1"/>
    <protectedRange password="D55D" sqref="B49" name="Range1_3_1_1_1_1_1_2_14_1_1"/>
    <protectedRange password="D55D" sqref="B25:B26" name="Range1_3_1_1"/>
    <protectedRange password="D55D" sqref="B109 B103 B105 B107 B98:B99 B101" name="Range1_3_1_1_1_1_1_2_1"/>
    <protectedRange password="D55D" sqref="B100 B102" name="Range1_3_1_1_1_1_1_2_11_1"/>
    <protectedRange password="D55D" sqref="B104" name="Range1_3_1_1_1_1_1_2_12_1"/>
    <protectedRange password="D55D" sqref="B106" name="Range1_3_1_1_1_1_1_2_13_1"/>
    <protectedRange password="D55D" sqref="B108 B110" name="Range1_3_1_1_1_1_1_2_14_1"/>
    <protectedRange password="D55D" sqref="B52" name="Range1_3_1_1_1_1_1_2_1_1_4"/>
    <protectedRange password="D55D" sqref="B53" name="Range1_3_1_1_1_1_1_2_9_1_1_3"/>
  </protectedRanges>
  <mergeCells count="1">
    <mergeCell ref="A3:B3"/>
  </mergeCells>
  <pageMargins left="0.7" right="0.7" top="0.75" bottom="0.75" header="0.3" footer="0.3"/>
  <pageSetup paperSize="9"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Y133"/>
  <sheetViews>
    <sheetView view="pageBreakPreview" zoomScale="99" zoomScaleNormal="100" zoomScaleSheetLayoutView="99" workbookViewId="0">
      <selection activeCell="A107" sqref="A107:F133"/>
    </sheetView>
  </sheetViews>
  <sheetFormatPr defaultRowHeight="13.8" x14ac:dyDescent="0.25"/>
  <cols>
    <col min="1" max="1" width="7.109375" style="1091" customWidth="1"/>
    <col min="2" max="2" width="47" style="1092" customWidth="1"/>
    <col min="3" max="3" width="5.109375" style="1090" bestFit="1" customWidth="1"/>
    <col min="4" max="4" width="6" style="1093" bestFit="1" customWidth="1"/>
    <col min="5" max="5" width="11.5546875" style="1079" bestFit="1" customWidth="1"/>
    <col min="6" max="6" width="12.88671875" style="1284" bestFit="1" customWidth="1"/>
    <col min="7" max="8" width="18.5546875" style="1045" customWidth="1"/>
    <col min="9" max="250" width="8.88671875" style="1045"/>
    <col min="251" max="251" width="3" style="1045" customWidth="1"/>
    <col min="252" max="252" width="4.33203125" style="1045" customWidth="1"/>
    <col min="253" max="253" width="39.44140625" style="1045" customWidth="1"/>
    <col min="254" max="254" width="8.88671875" style="1045" customWidth="1"/>
    <col min="255" max="255" width="10.44140625" style="1045" customWidth="1"/>
    <col min="256" max="256" width="12.33203125" style="1045" customWidth="1"/>
    <col min="257" max="257" width="14.88671875" style="1045" customWidth="1"/>
    <col min="258" max="258" width="8.88671875" style="1045"/>
    <col min="259" max="259" width="14.33203125" style="1045" customWidth="1"/>
    <col min="260" max="260" width="8.88671875" style="1045"/>
    <col min="261" max="261" width="10.44140625" style="1045" customWidth="1"/>
    <col min="262" max="506" width="8.88671875" style="1045"/>
    <col min="507" max="507" width="3" style="1045" customWidth="1"/>
    <col min="508" max="508" width="4.33203125" style="1045" customWidth="1"/>
    <col min="509" max="509" width="39.44140625" style="1045" customWidth="1"/>
    <col min="510" max="510" width="8.88671875" style="1045" customWidth="1"/>
    <col min="511" max="511" width="10.44140625" style="1045" customWidth="1"/>
    <col min="512" max="512" width="12.33203125" style="1045" customWidth="1"/>
    <col min="513" max="513" width="14.88671875" style="1045" customWidth="1"/>
    <col min="514" max="514" width="8.88671875" style="1045"/>
    <col min="515" max="515" width="14.33203125" style="1045" customWidth="1"/>
    <col min="516" max="516" width="8.88671875" style="1045"/>
    <col min="517" max="517" width="10.44140625" style="1045" customWidth="1"/>
    <col min="518" max="762" width="8.88671875" style="1045"/>
    <col min="763" max="763" width="3" style="1045" customWidth="1"/>
    <col min="764" max="764" width="4.33203125" style="1045" customWidth="1"/>
    <col min="765" max="765" width="39.44140625" style="1045" customWidth="1"/>
    <col min="766" max="766" width="8.88671875" style="1045" customWidth="1"/>
    <col min="767" max="767" width="10.44140625" style="1045" customWidth="1"/>
    <col min="768" max="768" width="12.33203125" style="1045" customWidth="1"/>
    <col min="769" max="769" width="14.88671875" style="1045" customWidth="1"/>
    <col min="770" max="770" width="8.88671875" style="1045"/>
    <col min="771" max="771" width="14.33203125" style="1045" customWidth="1"/>
    <col min="772" max="772" width="8.88671875" style="1045"/>
    <col min="773" max="773" width="10.44140625" style="1045" customWidth="1"/>
    <col min="774" max="1018" width="8.88671875" style="1045"/>
    <col min="1019" max="1019" width="3" style="1045" customWidth="1"/>
    <col min="1020" max="1020" width="4.33203125" style="1045" customWidth="1"/>
    <col min="1021" max="1021" width="39.44140625" style="1045" customWidth="1"/>
    <col min="1022" max="1022" width="8.88671875" style="1045" customWidth="1"/>
    <col min="1023" max="1023" width="10.44140625" style="1045" customWidth="1"/>
    <col min="1024" max="1024" width="12.33203125" style="1045" customWidth="1"/>
    <col min="1025" max="1025" width="14.88671875" style="1045" customWidth="1"/>
    <col min="1026" max="1026" width="8.88671875" style="1045"/>
    <col min="1027" max="1027" width="14.33203125" style="1045" customWidth="1"/>
    <col min="1028" max="1028" width="8.88671875" style="1045"/>
    <col min="1029" max="1029" width="10.44140625" style="1045" customWidth="1"/>
    <col min="1030" max="1274" width="8.88671875" style="1045"/>
    <col min="1275" max="1275" width="3" style="1045" customWidth="1"/>
    <col min="1276" max="1276" width="4.33203125" style="1045" customWidth="1"/>
    <col min="1277" max="1277" width="39.44140625" style="1045" customWidth="1"/>
    <col min="1278" max="1278" width="8.88671875" style="1045" customWidth="1"/>
    <col min="1279" max="1279" width="10.44140625" style="1045" customWidth="1"/>
    <col min="1280" max="1280" width="12.33203125" style="1045" customWidth="1"/>
    <col min="1281" max="1281" width="14.88671875" style="1045" customWidth="1"/>
    <col min="1282" max="1282" width="8.88671875" style="1045"/>
    <col min="1283" max="1283" width="14.33203125" style="1045" customWidth="1"/>
    <col min="1284" max="1284" width="8.88671875" style="1045"/>
    <col min="1285" max="1285" width="10.44140625" style="1045" customWidth="1"/>
    <col min="1286" max="1530" width="8.88671875" style="1045"/>
    <col min="1531" max="1531" width="3" style="1045" customWidth="1"/>
    <col min="1532" max="1532" width="4.33203125" style="1045" customWidth="1"/>
    <col min="1533" max="1533" width="39.44140625" style="1045" customWidth="1"/>
    <col min="1534" max="1534" width="8.88671875" style="1045" customWidth="1"/>
    <col min="1535" max="1535" width="10.44140625" style="1045" customWidth="1"/>
    <col min="1536" max="1536" width="12.33203125" style="1045" customWidth="1"/>
    <col min="1537" max="1537" width="14.88671875" style="1045" customWidth="1"/>
    <col min="1538" max="1538" width="8.88671875" style="1045"/>
    <col min="1539" max="1539" width="14.33203125" style="1045" customWidth="1"/>
    <col min="1540" max="1540" width="8.88671875" style="1045"/>
    <col min="1541" max="1541" width="10.44140625" style="1045" customWidth="1"/>
    <col min="1542" max="1786" width="8.88671875" style="1045"/>
    <col min="1787" max="1787" width="3" style="1045" customWidth="1"/>
    <col min="1788" max="1788" width="4.33203125" style="1045" customWidth="1"/>
    <col min="1789" max="1789" width="39.44140625" style="1045" customWidth="1"/>
    <col min="1790" max="1790" width="8.88671875" style="1045" customWidth="1"/>
    <col min="1791" max="1791" width="10.44140625" style="1045" customWidth="1"/>
    <col min="1792" max="1792" width="12.33203125" style="1045" customWidth="1"/>
    <col min="1793" max="1793" width="14.88671875" style="1045" customWidth="1"/>
    <col min="1794" max="1794" width="8.88671875" style="1045"/>
    <col min="1795" max="1795" width="14.33203125" style="1045" customWidth="1"/>
    <col min="1796" max="1796" width="8.88671875" style="1045"/>
    <col min="1797" max="1797" width="10.44140625" style="1045" customWidth="1"/>
    <col min="1798" max="2042" width="8.88671875" style="1045"/>
    <col min="2043" max="2043" width="3" style="1045" customWidth="1"/>
    <col min="2044" max="2044" width="4.33203125" style="1045" customWidth="1"/>
    <col min="2045" max="2045" width="39.44140625" style="1045" customWidth="1"/>
    <col min="2046" max="2046" width="8.88671875" style="1045" customWidth="1"/>
    <col min="2047" max="2047" width="10.44140625" style="1045" customWidth="1"/>
    <col min="2048" max="2048" width="12.33203125" style="1045" customWidth="1"/>
    <col min="2049" max="2049" width="14.88671875" style="1045" customWidth="1"/>
    <col min="2050" max="2050" width="8.88671875" style="1045"/>
    <col min="2051" max="2051" width="14.33203125" style="1045" customWidth="1"/>
    <col min="2052" max="2052" width="8.88671875" style="1045"/>
    <col min="2053" max="2053" width="10.44140625" style="1045" customWidth="1"/>
    <col min="2054" max="2298" width="8.88671875" style="1045"/>
    <col min="2299" max="2299" width="3" style="1045" customWidth="1"/>
    <col min="2300" max="2300" width="4.33203125" style="1045" customWidth="1"/>
    <col min="2301" max="2301" width="39.44140625" style="1045" customWidth="1"/>
    <col min="2302" max="2302" width="8.88671875" style="1045" customWidth="1"/>
    <col min="2303" max="2303" width="10.44140625" style="1045" customWidth="1"/>
    <col min="2304" max="2304" width="12.33203125" style="1045" customWidth="1"/>
    <col min="2305" max="2305" width="14.88671875" style="1045" customWidth="1"/>
    <col min="2306" max="2306" width="8.88671875" style="1045"/>
    <col min="2307" max="2307" width="14.33203125" style="1045" customWidth="1"/>
    <col min="2308" max="2308" width="8.88671875" style="1045"/>
    <col min="2309" max="2309" width="10.44140625" style="1045" customWidth="1"/>
    <col min="2310" max="2554" width="8.88671875" style="1045"/>
    <col min="2555" max="2555" width="3" style="1045" customWidth="1"/>
    <col min="2556" max="2556" width="4.33203125" style="1045" customWidth="1"/>
    <col min="2557" max="2557" width="39.44140625" style="1045" customWidth="1"/>
    <col min="2558" max="2558" width="8.88671875" style="1045" customWidth="1"/>
    <col min="2559" max="2559" width="10.44140625" style="1045" customWidth="1"/>
    <col min="2560" max="2560" width="12.33203125" style="1045" customWidth="1"/>
    <col min="2561" max="2561" width="14.88671875" style="1045" customWidth="1"/>
    <col min="2562" max="2562" width="8.88671875" style="1045"/>
    <col min="2563" max="2563" width="14.33203125" style="1045" customWidth="1"/>
    <col min="2564" max="2564" width="8.88671875" style="1045"/>
    <col min="2565" max="2565" width="10.44140625" style="1045" customWidth="1"/>
    <col min="2566" max="2810" width="8.88671875" style="1045"/>
    <col min="2811" max="2811" width="3" style="1045" customWidth="1"/>
    <col min="2812" max="2812" width="4.33203125" style="1045" customWidth="1"/>
    <col min="2813" max="2813" width="39.44140625" style="1045" customWidth="1"/>
    <col min="2814" max="2814" width="8.88671875" style="1045" customWidth="1"/>
    <col min="2815" max="2815" width="10.44140625" style="1045" customWidth="1"/>
    <col min="2816" max="2816" width="12.33203125" style="1045" customWidth="1"/>
    <col min="2817" max="2817" width="14.88671875" style="1045" customWidth="1"/>
    <col min="2818" max="2818" width="8.88671875" style="1045"/>
    <col min="2819" max="2819" width="14.33203125" style="1045" customWidth="1"/>
    <col min="2820" max="2820" width="8.88671875" style="1045"/>
    <col min="2821" max="2821" width="10.44140625" style="1045" customWidth="1"/>
    <col min="2822" max="3066" width="8.88671875" style="1045"/>
    <col min="3067" max="3067" width="3" style="1045" customWidth="1"/>
    <col min="3068" max="3068" width="4.33203125" style="1045" customWidth="1"/>
    <col min="3069" max="3069" width="39.44140625" style="1045" customWidth="1"/>
    <col min="3070" max="3070" width="8.88671875" style="1045" customWidth="1"/>
    <col min="3071" max="3071" width="10.44140625" style="1045" customWidth="1"/>
    <col min="3072" max="3072" width="12.33203125" style="1045" customWidth="1"/>
    <col min="3073" max="3073" width="14.88671875" style="1045" customWidth="1"/>
    <col min="3074" max="3074" width="8.88671875" style="1045"/>
    <col min="3075" max="3075" width="14.33203125" style="1045" customWidth="1"/>
    <col min="3076" max="3076" width="8.88671875" style="1045"/>
    <col min="3077" max="3077" width="10.44140625" style="1045" customWidth="1"/>
    <col min="3078" max="3322" width="8.88671875" style="1045"/>
    <col min="3323" max="3323" width="3" style="1045" customWidth="1"/>
    <col min="3324" max="3324" width="4.33203125" style="1045" customWidth="1"/>
    <col min="3325" max="3325" width="39.44140625" style="1045" customWidth="1"/>
    <col min="3326" max="3326" width="8.88671875" style="1045" customWidth="1"/>
    <col min="3327" max="3327" width="10.44140625" style="1045" customWidth="1"/>
    <col min="3328" max="3328" width="12.33203125" style="1045" customWidth="1"/>
    <col min="3329" max="3329" width="14.88671875" style="1045" customWidth="1"/>
    <col min="3330" max="3330" width="8.88671875" style="1045"/>
    <col min="3331" max="3331" width="14.33203125" style="1045" customWidth="1"/>
    <col min="3332" max="3332" width="8.88671875" style="1045"/>
    <col min="3333" max="3333" width="10.44140625" style="1045" customWidth="1"/>
    <col min="3334" max="3578" width="8.88671875" style="1045"/>
    <col min="3579" max="3579" width="3" style="1045" customWidth="1"/>
    <col min="3580" max="3580" width="4.33203125" style="1045" customWidth="1"/>
    <col min="3581" max="3581" width="39.44140625" style="1045" customWidth="1"/>
    <col min="3582" max="3582" width="8.88671875" style="1045" customWidth="1"/>
    <col min="3583" max="3583" width="10.44140625" style="1045" customWidth="1"/>
    <col min="3584" max="3584" width="12.33203125" style="1045" customWidth="1"/>
    <col min="3585" max="3585" width="14.88671875" style="1045" customWidth="1"/>
    <col min="3586" max="3586" width="8.88671875" style="1045"/>
    <col min="3587" max="3587" width="14.33203125" style="1045" customWidth="1"/>
    <col min="3588" max="3588" width="8.88671875" style="1045"/>
    <col min="3589" max="3589" width="10.44140625" style="1045" customWidth="1"/>
    <col min="3590" max="3834" width="8.88671875" style="1045"/>
    <col min="3835" max="3835" width="3" style="1045" customWidth="1"/>
    <col min="3836" max="3836" width="4.33203125" style="1045" customWidth="1"/>
    <col min="3837" max="3837" width="39.44140625" style="1045" customWidth="1"/>
    <col min="3838" max="3838" width="8.88671875" style="1045" customWidth="1"/>
    <col min="3839" max="3839" width="10.44140625" style="1045" customWidth="1"/>
    <col min="3840" max="3840" width="12.33203125" style="1045" customWidth="1"/>
    <col min="3841" max="3841" width="14.88671875" style="1045" customWidth="1"/>
    <col min="3842" max="3842" width="8.88671875" style="1045"/>
    <col min="3843" max="3843" width="14.33203125" style="1045" customWidth="1"/>
    <col min="3844" max="3844" width="8.88671875" style="1045"/>
    <col min="3845" max="3845" width="10.44140625" style="1045" customWidth="1"/>
    <col min="3846" max="4090" width="8.88671875" style="1045"/>
    <col min="4091" max="4091" width="3" style="1045" customWidth="1"/>
    <col min="4092" max="4092" width="4.33203125" style="1045" customWidth="1"/>
    <col min="4093" max="4093" width="39.44140625" style="1045" customWidth="1"/>
    <col min="4094" max="4094" width="8.88671875" style="1045" customWidth="1"/>
    <col min="4095" max="4095" width="10.44140625" style="1045" customWidth="1"/>
    <col min="4096" max="4096" width="12.33203125" style="1045" customWidth="1"/>
    <col min="4097" max="4097" width="14.88671875" style="1045" customWidth="1"/>
    <col min="4098" max="4098" width="8.88671875" style="1045"/>
    <col min="4099" max="4099" width="14.33203125" style="1045" customWidth="1"/>
    <col min="4100" max="4100" width="8.88671875" style="1045"/>
    <col min="4101" max="4101" width="10.44140625" style="1045" customWidth="1"/>
    <col min="4102" max="4346" width="8.88671875" style="1045"/>
    <col min="4347" max="4347" width="3" style="1045" customWidth="1"/>
    <col min="4348" max="4348" width="4.33203125" style="1045" customWidth="1"/>
    <col min="4349" max="4349" width="39.44140625" style="1045" customWidth="1"/>
    <col min="4350" max="4350" width="8.88671875" style="1045" customWidth="1"/>
    <col min="4351" max="4351" width="10.44140625" style="1045" customWidth="1"/>
    <col min="4352" max="4352" width="12.33203125" style="1045" customWidth="1"/>
    <col min="4353" max="4353" width="14.88671875" style="1045" customWidth="1"/>
    <col min="4354" max="4354" width="8.88671875" style="1045"/>
    <col min="4355" max="4355" width="14.33203125" style="1045" customWidth="1"/>
    <col min="4356" max="4356" width="8.88671875" style="1045"/>
    <col min="4357" max="4357" width="10.44140625" style="1045" customWidth="1"/>
    <col min="4358" max="4602" width="8.88671875" style="1045"/>
    <col min="4603" max="4603" width="3" style="1045" customWidth="1"/>
    <col min="4604" max="4604" width="4.33203125" style="1045" customWidth="1"/>
    <col min="4605" max="4605" width="39.44140625" style="1045" customWidth="1"/>
    <col min="4606" max="4606" width="8.88671875" style="1045" customWidth="1"/>
    <col min="4607" max="4607" width="10.44140625" style="1045" customWidth="1"/>
    <col min="4608" max="4608" width="12.33203125" style="1045" customWidth="1"/>
    <col min="4609" max="4609" width="14.88671875" style="1045" customWidth="1"/>
    <col min="4610" max="4610" width="8.88671875" style="1045"/>
    <col min="4611" max="4611" width="14.33203125" style="1045" customWidth="1"/>
    <col min="4612" max="4612" width="8.88671875" style="1045"/>
    <col min="4613" max="4613" width="10.44140625" style="1045" customWidth="1"/>
    <col min="4614" max="4858" width="8.88671875" style="1045"/>
    <col min="4859" max="4859" width="3" style="1045" customWidth="1"/>
    <col min="4860" max="4860" width="4.33203125" style="1045" customWidth="1"/>
    <col min="4861" max="4861" width="39.44140625" style="1045" customWidth="1"/>
    <col min="4862" max="4862" width="8.88671875" style="1045" customWidth="1"/>
    <col min="4863" max="4863" width="10.44140625" style="1045" customWidth="1"/>
    <col min="4864" max="4864" width="12.33203125" style="1045" customWidth="1"/>
    <col min="4865" max="4865" width="14.88671875" style="1045" customWidth="1"/>
    <col min="4866" max="4866" width="8.88671875" style="1045"/>
    <col min="4867" max="4867" width="14.33203125" style="1045" customWidth="1"/>
    <col min="4868" max="4868" width="8.88671875" style="1045"/>
    <col min="4869" max="4869" width="10.44140625" style="1045" customWidth="1"/>
    <col min="4870" max="5114" width="8.88671875" style="1045"/>
    <col min="5115" max="5115" width="3" style="1045" customWidth="1"/>
    <col min="5116" max="5116" width="4.33203125" style="1045" customWidth="1"/>
    <col min="5117" max="5117" width="39.44140625" style="1045" customWidth="1"/>
    <col min="5118" max="5118" width="8.88671875" style="1045" customWidth="1"/>
    <col min="5119" max="5119" width="10.44140625" style="1045" customWidth="1"/>
    <col min="5120" max="5120" width="12.33203125" style="1045" customWidth="1"/>
    <col min="5121" max="5121" width="14.88671875" style="1045" customWidth="1"/>
    <col min="5122" max="5122" width="8.88671875" style="1045"/>
    <col min="5123" max="5123" width="14.33203125" style="1045" customWidth="1"/>
    <col min="5124" max="5124" width="8.88671875" style="1045"/>
    <col min="5125" max="5125" width="10.44140625" style="1045" customWidth="1"/>
    <col min="5126" max="5370" width="8.88671875" style="1045"/>
    <col min="5371" max="5371" width="3" style="1045" customWidth="1"/>
    <col min="5372" max="5372" width="4.33203125" style="1045" customWidth="1"/>
    <col min="5373" max="5373" width="39.44140625" style="1045" customWidth="1"/>
    <col min="5374" max="5374" width="8.88671875" style="1045" customWidth="1"/>
    <col min="5375" max="5375" width="10.44140625" style="1045" customWidth="1"/>
    <col min="5376" max="5376" width="12.33203125" style="1045" customWidth="1"/>
    <col min="5377" max="5377" width="14.88671875" style="1045" customWidth="1"/>
    <col min="5378" max="5378" width="8.88671875" style="1045"/>
    <col min="5379" max="5379" width="14.33203125" style="1045" customWidth="1"/>
    <col min="5380" max="5380" width="8.88671875" style="1045"/>
    <col min="5381" max="5381" width="10.44140625" style="1045" customWidth="1"/>
    <col min="5382" max="5626" width="8.88671875" style="1045"/>
    <col min="5627" max="5627" width="3" style="1045" customWidth="1"/>
    <col min="5628" max="5628" width="4.33203125" style="1045" customWidth="1"/>
    <col min="5629" max="5629" width="39.44140625" style="1045" customWidth="1"/>
    <col min="5630" max="5630" width="8.88671875" style="1045" customWidth="1"/>
    <col min="5631" max="5631" width="10.44140625" style="1045" customWidth="1"/>
    <col min="5632" max="5632" width="12.33203125" style="1045" customWidth="1"/>
    <col min="5633" max="5633" width="14.88671875" style="1045" customWidth="1"/>
    <col min="5634" max="5634" width="8.88671875" style="1045"/>
    <col min="5635" max="5635" width="14.33203125" style="1045" customWidth="1"/>
    <col min="5636" max="5636" width="8.88671875" style="1045"/>
    <col min="5637" max="5637" width="10.44140625" style="1045" customWidth="1"/>
    <col min="5638" max="5882" width="8.88671875" style="1045"/>
    <col min="5883" max="5883" width="3" style="1045" customWidth="1"/>
    <col min="5884" max="5884" width="4.33203125" style="1045" customWidth="1"/>
    <col min="5885" max="5885" width="39.44140625" style="1045" customWidth="1"/>
    <col min="5886" max="5886" width="8.88671875" style="1045" customWidth="1"/>
    <col min="5887" max="5887" width="10.44140625" style="1045" customWidth="1"/>
    <col min="5888" max="5888" width="12.33203125" style="1045" customWidth="1"/>
    <col min="5889" max="5889" width="14.88671875" style="1045" customWidth="1"/>
    <col min="5890" max="5890" width="8.88671875" style="1045"/>
    <col min="5891" max="5891" width="14.33203125" style="1045" customWidth="1"/>
    <col min="5892" max="5892" width="8.88671875" style="1045"/>
    <col min="5893" max="5893" width="10.44140625" style="1045" customWidth="1"/>
    <col min="5894" max="6138" width="8.88671875" style="1045"/>
    <col min="6139" max="6139" width="3" style="1045" customWidth="1"/>
    <col min="6140" max="6140" width="4.33203125" style="1045" customWidth="1"/>
    <col min="6141" max="6141" width="39.44140625" style="1045" customWidth="1"/>
    <col min="6142" max="6142" width="8.88671875" style="1045" customWidth="1"/>
    <col min="6143" max="6143" width="10.44140625" style="1045" customWidth="1"/>
    <col min="6144" max="6144" width="12.33203125" style="1045" customWidth="1"/>
    <col min="6145" max="6145" width="14.88671875" style="1045" customWidth="1"/>
    <col min="6146" max="6146" width="8.88671875" style="1045"/>
    <col min="6147" max="6147" width="14.33203125" style="1045" customWidth="1"/>
    <col min="6148" max="6148" width="8.88671875" style="1045"/>
    <col min="6149" max="6149" width="10.44140625" style="1045" customWidth="1"/>
    <col min="6150" max="6394" width="8.88671875" style="1045"/>
    <col min="6395" max="6395" width="3" style="1045" customWidth="1"/>
    <col min="6396" max="6396" width="4.33203125" style="1045" customWidth="1"/>
    <col min="6397" max="6397" width="39.44140625" style="1045" customWidth="1"/>
    <col min="6398" max="6398" width="8.88671875" style="1045" customWidth="1"/>
    <col min="6399" max="6399" width="10.44140625" style="1045" customWidth="1"/>
    <col min="6400" max="6400" width="12.33203125" style="1045" customWidth="1"/>
    <col min="6401" max="6401" width="14.88671875" style="1045" customWidth="1"/>
    <col min="6402" max="6402" width="8.88671875" style="1045"/>
    <col min="6403" max="6403" width="14.33203125" style="1045" customWidth="1"/>
    <col min="6404" max="6404" width="8.88671875" style="1045"/>
    <col min="6405" max="6405" width="10.44140625" style="1045" customWidth="1"/>
    <col min="6406" max="6650" width="8.88671875" style="1045"/>
    <col min="6651" max="6651" width="3" style="1045" customWidth="1"/>
    <col min="6652" max="6652" width="4.33203125" style="1045" customWidth="1"/>
    <col min="6653" max="6653" width="39.44140625" style="1045" customWidth="1"/>
    <col min="6654" max="6654" width="8.88671875" style="1045" customWidth="1"/>
    <col min="6655" max="6655" width="10.44140625" style="1045" customWidth="1"/>
    <col min="6656" max="6656" width="12.33203125" style="1045" customWidth="1"/>
    <col min="6657" max="6657" width="14.88671875" style="1045" customWidth="1"/>
    <col min="6658" max="6658" width="8.88671875" style="1045"/>
    <col min="6659" max="6659" width="14.33203125" style="1045" customWidth="1"/>
    <col min="6660" max="6660" width="8.88671875" style="1045"/>
    <col min="6661" max="6661" width="10.44140625" style="1045" customWidth="1"/>
    <col min="6662" max="6906" width="8.88671875" style="1045"/>
    <col min="6907" max="6907" width="3" style="1045" customWidth="1"/>
    <col min="6908" max="6908" width="4.33203125" style="1045" customWidth="1"/>
    <col min="6909" max="6909" width="39.44140625" style="1045" customWidth="1"/>
    <col min="6910" max="6910" width="8.88671875" style="1045" customWidth="1"/>
    <col min="6911" max="6911" width="10.44140625" style="1045" customWidth="1"/>
    <col min="6912" max="6912" width="12.33203125" style="1045" customWidth="1"/>
    <col min="6913" max="6913" width="14.88671875" style="1045" customWidth="1"/>
    <col min="6914" max="6914" width="8.88671875" style="1045"/>
    <col min="6915" max="6915" width="14.33203125" style="1045" customWidth="1"/>
    <col min="6916" max="6916" width="8.88671875" style="1045"/>
    <col min="6917" max="6917" width="10.44140625" style="1045" customWidth="1"/>
    <col min="6918" max="7162" width="8.88671875" style="1045"/>
    <col min="7163" max="7163" width="3" style="1045" customWidth="1"/>
    <col min="7164" max="7164" width="4.33203125" style="1045" customWidth="1"/>
    <col min="7165" max="7165" width="39.44140625" style="1045" customWidth="1"/>
    <col min="7166" max="7166" width="8.88671875" style="1045" customWidth="1"/>
    <col min="7167" max="7167" width="10.44140625" style="1045" customWidth="1"/>
    <col min="7168" max="7168" width="12.33203125" style="1045" customWidth="1"/>
    <col min="7169" max="7169" width="14.88671875" style="1045" customWidth="1"/>
    <col min="7170" max="7170" width="8.88671875" style="1045"/>
    <col min="7171" max="7171" width="14.33203125" style="1045" customWidth="1"/>
    <col min="7172" max="7172" width="8.88671875" style="1045"/>
    <col min="7173" max="7173" width="10.44140625" style="1045" customWidth="1"/>
    <col min="7174" max="7418" width="8.88671875" style="1045"/>
    <col min="7419" max="7419" width="3" style="1045" customWidth="1"/>
    <col min="7420" max="7420" width="4.33203125" style="1045" customWidth="1"/>
    <col min="7421" max="7421" width="39.44140625" style="1045" customWidth="1"/>
    <col min="7422" max="7422" width="8.88671875" style="1045" customWidth="1"/>
    <col min="7423" max="7423" width="10.44140625" style="1045" customWidth="1"/>
    <col min="7424" max="7424" width="12.33203125" style="1045" customWidth="1"/>
    <col min="7425" max="7425" width="14.88671875" style="1045" customWidth="1"/>
    <col min="7426" max="7426" width="8.88671875" style="1045"/>
    <col min="7427" max="7427" width="14.33203125" style="1045" customWidth="1"/>
    <col min="7428" max="7428" width="8.88671875" style="1045"/>
    <col min="7429" max="7429" width="10.44140625" style="1045" customWidth="1"/>
    <col min="7430" max="7674" width="8.88671875" style="1045"/>
    <col min="7675" max="7675" width="3" style="1045" customWidth="1"/>
    <col min="7676" max="7676" width="4.33203125" style="1045" customWidth="1"/>
    <col min="7677" max="7677" width="39.44140625" style="1045" customWidth="1"/>
    <col min="7678" max="7678" width="8.88671875" style="1045" customWidth="1"/>
    <col min="7679" max="7679" width="10.44140625" style="1045" customWidth="1"/>
    <col min="7680" max="7680" width="12.33203125" style="1045" customWidth="1"/>
    <col min="7681" max="7681" width="14.88671875" style="1045" customWidth="1"/>
    <col min="7682" max="7682" width="8.88671875" style="1045"/>
    <col min="7683" max="7683" width="14.33203125" style="1045" customWidth="1"/>
    <col min="7684" max="7684" width="8.88671875" style="1045"/>
    <col min="7685" max="7685" width="10.44140625" style="1045" customWidth="1"/>
    <col min="7686" max="7930" width="8.88671875" style="1045"/>
    <col min="7931" max="7931" width="3" style="1045" customWidth="1"/>
    <col min="7932" max="7932" width="4.33203125" style="1045" customWidth="1"/>
    <col min="7933" max="7933" width="39.44140625" style="1045" customWidth="1"/>
    <col min="7934" max="7934" width="8.88671875" style="1045" customWidth="1"/>
    <col min="7935" max="7935" width="10.44140625" style="1045" customWidth="1"/>
    <col min="7936" max="7936" width="12.33203125" style="1045" customWidth="1"/>
    <col min="7937" max="7937" width="14.88671875" style="1045" customWidth="1"/>
    <col min="7938" max="7938" width="8.88671875" style="1045"/>
    <col min="7939" max="7939" width="14.33203125" style="1045" customWidth="1"/>
    <col min="7940" max="7940" width="8.88671875" style="1045"/>
    <col min="7941" max="7941" width="10.44140625" style="1045" customWidth="1"/>
    <col min="7942" max="8186" width="8.88671875" style="1045"/>
    <col min="8187" max="8187" width="3" style="1045" customWidth="1"/>
    <col min="8188" max="8188" width="4.33203125" style="1045" customWidth="1"/>
    <col min="8189" max="8189" width="39.44140625" style="1045" customWidth="1"/>
    <col min="8190" max="8190" width="8.88671875" style="1045" customWidth="1"/>
    <col min="8191" max="8191" width="10.44140625" style="1045" customWidth="1"/>
    <col min="8192" max="8192" width="12.33203125" style="1045" customWidth="1"/>
    <col min="8193" max="8193" width="14.88671875" style="1045" customWidth="1"/>
    <col min="8194" max="8194" width="8.88671875" style="1045"/>
    <col min="8195" max="8195" width="14.33203125" style="1045" customWidth="1"/>
    <col min="8196" max="8196" width="8.88671875" style="1045"/>
    <col min="8197" max="8197" width="10.44140625" style="1045" customWidth="1"/>
    <col min="8198" max="8442" width="8.88671875" style="1045"/>
    <col min="8443" max="8443" width="3" style="1045" customWidth="1"/>
    <col min="8444" max="8444" width="4.33203125" style="1045" customWidth="1"/>
    <col min="8445" max="8445" width="39.44140625" style="1045" customWidth="1"/>
    <col min="8446" max="8446" width="8.88671875" style="1045" customWidth="1"/>
    <col min="8447" max="8447" width="10.44140625" style="1045" customWidth="1"/>
    <col min="8448" max="8448" width="12.33203125" style="1045" customWidth="1"/>
    <col min="8449" max="8449" width="14.88671875" style="1045" customWidth="1"/>
    <col min="8450" max="8450" width="8.88671875" style="1045"/>
    <col min="8451" max="8451" width="14.33203125" style="1045" customWidth="1"/>
    <col min="8452" max="8452" width="8.88671875" style="1045"/>
    <col min="8453" max="8453" width="10.44140625" style="1045" customWidth="1"/>
    <col min="8454" max="8698" width="8.88671875" style="1045"/>
    <col min="8699" max="8699" width="3" style="1045" customWidth="1"/>
    <col min="8700" max="8700" width="4.33203125" style="1045" customWidth="1"/>
    <col min="8701" max="8701" width="39.44140625" style="1045" customWidth="1"/>
    <col min="8702" max="8702" width="8.88671875" style="1045" customWidth="1"/>
    <col min="8703" max="8703" width="10.44140625" style="1045" customWidth="1"/>
    <col min="8704" max="8704" width="12.33203125" style="1045" customWidth="1"/>
    <col min="8705" max="8705" width="14.88671875" style="1045" customWidth="1"/>
    <col min="8706" max="8706" width="8.88671875" style="1045"/>
    <col min="8707" max="8707" width="14.33203125" style="1045" customWidth="1"/>
    <col min="8708" max="8708" width="8.88671875" style="1045"/>
    <col min="8709" max="8709" width="10.44140625" style="1045" customWidth="1"/>
    <col min="8710" max="8954" width="8.88671875" style="1045"/>
    <col min="8955" max="8955" width="3" style="1045" customWidth="1"/>
    <col min="8956" max="8956" width="4.33203125" style="1045" customWidth="1"/>
    <col min="8957" max="8957" width="39.44140625" style="1045" customWidth="1"/>
    <col min="8958" max="8958" width="8.88671875" style="1045" customWidth="1"/>
    <col min="8959" max="8959" width="10.44140625" style="1045" customWidth="1"/>
    <col min="8960" max="8960" width="12.33203125" style="1045" customWidth="1"/>
    <col min="8961" max="8961" width="14.88671875" style="1045" customWidth="1"/>
    <col min="8962" max="8962" width="8.88671875" style="1045"/>
    <col min="8963" max="8963" width="14.33203125" style="1045" customWidth="1"/>
    <col min="8964" max="8964" width="8.88671875" style="1045"/>
    <col min="8965" max="8965" width="10.44140625" style="1045" customWidth="1"/>
    <col min="8966" max="9210" width="8.88671875" style="1045"/>
    <col min="9211" max="9211" width="3" style="1045" customWidth="1"/>
    <col min="9212" max="9212" width="4.33203125" style="1045" customWidth="1"/>
    <col min="9213" max="9213" width="39.44140625" style="1045" customWidth="1"/>
    <col min="9214" max="9214" width="8.88671875" style="1045" customWidth="1"/>
    <col min="9215" max="9215" width="10.44140625" style="1045" customWidth="1"/>
    <col min="9216" max="9216" width="12.33203125" style="1045" customWidth="1"/>
    <col min="9217" max="9217" width="14.88671875" style="1045" customWidth="1"/>
    <col min="9218" max="9218" width="8.88671875" style="1045"/>
    <col min="9219" max="9219" width="14.33203125" style="1045" customWidth="1"/>
    <col min="9220" max="9220" width="8.88671875" style="1045"/>
    <col min="9221" max="9221" width="10.44140625" style="1045" customWidth="1"/>
    <col min="9222" max="9466" width="8.88671875" style="1045"/>
    <col min="9467" max="9467" width="3" style="1045" customWidth="1"/>
    <col min="9468" max="9468" width="4.33203125" style="1045" customWidth="1"/>
    <col min="9469" max="9469" width="39.44140625" style="1045" customWidth="1"/>
    <col min="9470" max="9470" width="8.88671875" style="1045" customWidth="1"/>
    <col min="9471" max="9471" width="10.44140625" style="1045" customWidth="1"/>
    <col min="9472" max="9472" width="12.33203125" style="1045" customWidth="1"/>
    <col min="9473" max="9473" width="14.88671875" style="1045" customWidth="1"/>
    <col min="9474" max="9474" width="8.88671875" style="1045"/>
    <col min="9475" max="9475" width="14.33203125" style="1045" customWidth="1"/>
    <col min="9476" max="9476" width="8.88671875" style="1045"/>
    <col min="9477" max="9477" width="10.44140625" style="1045" customWidth="1"/>
    <col min="9478" max="9722" width="8.88671875" style="1045"/>
    <col min="9723" max="9723" width="3" style="1045" customWidth="1"/>
    <col min="9724" max="9724" width="4.33203125" style="1045" customWidth="1"/>
    <col min="9725" max="9725" width="39.44140625" style="1045" customWidth="1"/>
    <col min="9726" max="9726" width="8.88671875" style="1045" customWidth="1"/>
    <col min="9727" max="9727" width="10.44140625" style="1045" customWidth="1"/>
    <col min="9728" max="9728" width="12.33203125" style="1045" customWidth="1"/>
    <col min="9729" max="9729" width="14.88671875" style="1045" customWidth="1"/>
    <col min="9730" max="9730" width="8.88671875" style="1045"/>
    <col min="9731" max="9731" width="14.33203125" style="1045" customWidth="1"/>
    <col min="9732" max="9732" width="8.88671875" style="1045"/>
    <col min="9733" max="9733" width="10.44140625" style="1045" customWidth="1"/>
    <col min="9734" max="9978" width="8.88671875" style="1045"/>
    <col min="9979" max="9979" width="3" style="1045" customWidth="1"/>
    <col min="9980" max="9980" width="4.33203125" style="1045" customWidth="1"/>
    <col min="9981" max="9981" width="39.44140625" style="1045" customWidth="1"/>
    <col min="9982" max="9982" width="8.88671875" style="1045" customWidth="1"/>
    <col min="9983" max="9983" width="10.44140625" style="1045" customWidth="1"/>
    <col min="9984" max="9984" width="12.33203125" style="1045" customWidth="1"/>
    <col min="9985" max="9985" width="14.88671875" style="1045" customWidth="1"/>
    <col min="9986" max="9986" width="8.88671875" style="1045"/>
    <col min="9987" max="9987" width="14.33203125" style="1045" customWidth="1"/>
    <col min="9988" max="9988" width="8.88671875" style="1045"/>
    <col min="9989" max="9989" width="10.44140625" style="1045" customWidth="1"/>
    <col min="9990" max="10234" width="8.88671875" style="1045"/>
    <col min="10235" max="10235" width="3" style="1045" customWidth="1"/>
    <col min="10236" max="10236" width="4.33203125" style="1045" customWidth="1"/>
    <col min="10237" max="10237" width="39.44140625" style="1045" customWidth="1"/>
    <col min="10238" max="10238" width="8.88671875" style="1045" customWidth="1"/>
    <col min="10239" max="10239" width="10.44140625" style="1045" customWidth="1"/>
    <col min="10240" max="10240" width="12.33203125" style="1045" customWidth="1"/>
    <col min="10241" max="10241" width="14.88671875" style="1045" customWidth="1"/>
    <col min="10242" max="10242" width="8.88671875" style="1045"/>
    <col min="10243" max="10243" width="14.33203125" style="1045" customWidth="1"/>
    <col min="10244" max="10244" width="8.88671875" style="1045"/>
    <col min="10245" max="10245" width="10.44140625" style="1045" customWidth="1"/>
    <col min="10246" max="10490" width="8.88671875" style="1045"/>
    <col min="10491" max="10491" width="3" style="1045" customWidth="1"/>
    <col min="10492" max="10492" width="4.33203125" style="1045" customWidth="1"/>
    <col min="10493" max="10493" width="39.44140625" style="1045" customWidth="1"/>
    <col min="10494" max="10494" width="8.88671875" style="1045" customWidth="1"/>
    <col min="10495" max="10495" width="10.44140625" style="1045" customWidth="1"/>
    <col min="10496" max="10496" width="12.33203125" style="1045" customWidth="1"/>
    <col min="10497" max="10497" width="14.88671875" style="1045" customWidth="1"/>
    <col min="10498" max="10498" width="8.88671875" style="1045"/>
    <col min="10499" max="10499" width="14.33203125" style="1045" customWidth="1"/>
    <col min="10500" max="10500" width="8.88671875" style="1045"/>
    <col min="10501" max="10501" width="10.44140625" style="1045" customWidth="1"/>
    <col min="10502" max="10746" width="8.88671875" style="1045"/>
    <col min="10747" max="10747" width="3" style="1045" customWidth="1"/>
    <col min="10748" max="10748" width="4.33203125" style="1045" customWidth="1"/>
    <col min="10749" max="10749" width="39.44140625" style="1045" customWidth="1"/>
    <col min="10750" max="10750" width="8.88671875" style="1045" customWidth="1"/>
    <col min="10751" max="10751" width="10.44140625" style="1045" customWidth="1"/>
    <col min="10752" max="10752" width="12.33203125" style="1045" customWidth="1"/>
    <col min="10753" max="10753" width="14.88671875" style="1045" customWidth="1"/>
    <col min="10754" max="10754" width="8.88671875" style="1045"/>
    <col min="10755" max="10755" width="14.33203125" style="1045" customWidth="1"/>
    <col min="10756" max="10756" width="8.88671875" style="1045"/>
    <col min="10757" max="10757" width="10.44140625" style="1045" customWidth="1"/>
    <col min="10758" max="11002" width="8.88671875" style="1045"/>
    <col min="11003" max="11003" width="3" style="1045" customWidth="1"/>
    <col min="11004" max="11004" width="4.33203125" style="1045" customWidth="1"/>
    <col min="11005" max="11005" width="39.44140625" style="1045" customWidth="1"/>
    <col min="11006" max="11006" width="8.88671875" style="1045" customWidth="1"/>
    <col min="11007" max="11007" width="10.44140625" style="1045" customWidth="1"/>
    <col min="11008" max="11008" width="12.33203125" style="1045" customWidth="1"/>
    <col min="11009" max="11009" width="14.88671875" style="1045" customWidth="1"/>
    <col min="11010" max="11010" width="8.88671875" style="1045"/>
    <col min="11011" max="11011" width="14.33203125" style="1045" customWidth="1"/>
    <col min="11012" max="11012" width="8.88671875" style="1045"/>
    <col min="11013" max="11013" width="10.44140625" style="1045" customWidth="1"/>
    <col min="11014" max="11258" width="8.88671875" style="1045"/>
    <col min="11259" max="11259" width="3" style="1045" customWidth="1"/>
    <col min="11260" max="11260" width="4.33203125" style="1045" customWidth="1"/>
    <col min="11261" max="11261" width="39.44140625" style="1045" customWidth="1"/>
    <col min="11262" max="11262" width="8.88671875" style="1045" customWidth="1"/>
    <col min="11263" max="11263" width="10.44140625" style="1045" customWidth="1"/>
    <col min="11264" max="11264" width="12.33203125" style="1045" customWidth="1"/>
    <col min="11265" max="11265" width="14.88671875" style="1045" customWidth="1"/>
    <col min="11266" max="11266" width="8.88671875" style="1045"/>
    <col min="11267" max="11267" width="14.33203125" style="1045" customWidth="1"/>
    <col min="11268" max="11268" width="8.88671875" style="1045"/>
    <col min="11269" max="11269" width="10.44140625" style="1045" customWidth="1"/>
    <col min="11270" max="11514" width="8.88671875" style="1045"/>
    <col min="11515" max="11515" width="3" style="1045" customWidth="1"/>
    <col min="11516" max="11516" width="4.33203125" style="1045" customWidth="1"/>
    <col min="11517" max="11517" width="39.44140625" style="1045" customWidth="1"/>
    <col min="11518" max="11518" width="8.88671875" style="1045" customWidth="1"/>
    <col min="11519" max="11519" width="10.44140625" style="1045" customWidth="1"/>
    <col min="11520" max="11520" width="12.33203125" style="1045" customWidth="1"/>
    <col min="11521" max="11521" width="14.88671875" style="1045" customWidth="1"/>
    <col min="11522" max="11522" width="8.88671875" style="1045"/>
    <col min="11523" max="11523" width="14.33203125" style="1045" customWidth="1"/>
    <col min="11524" max="11524" width="8.88671875" style="1045"/>
    <col min="11525" max="11525" width="10.44140625" style="1045" customWidth="1"/>
    <col min="11526" max="11770" width="8.88671875" style="1045"/>
    <col min="11771" max="11771" width="3" style="1045" customWidth="1"/>
    <col min="11772" max="11772" width="4.33203125" style="1045" customWidth="1"/>
    <col min="11773" max="11773" width="39.44140625" style="1045" customWidth="1"/>
    <col min="11774" max="11774" width="8.88671875" style="1045" customWidth="1"/>
    <col min="11775" max="11775" width="10.44140625" style="1045" customWidth="1"/>
    <col min="11776" max="11776" width="12.33203125" style="1045" customWidth="1"/>
    <col min="11777" max="11777" width="14.88671875" style="1045" customWidth="1"/>
    <col min="11778" max="11778" width="8.88671875" style="1045"/>
    <col min="11779" max="11779" width="14.33203125" style="1045" customWidth="1"/>
    <col min="11780" max="11780" width="8.88671875" style="1045"/>
    <col min="11781" max="11781" width="10.44140625" style="1045" customWidth="1"/>
    <col min="11782" max="12026" width="8.88671875" style="1045"/>
    <col min="12027" max="12027" width="3" style="1045" customWidth="1"/>
    <col min="12028" max="12028" width="4.33203125" style="1045" customWidth="1"/>
    <col min="12029" max="12029" width="39.44140625" style="1045" customWidth="1"/>
    <col min="12030" max="12030" width="8.88671875" style="1045" customWidth="1"/>
    <col min="12031" max="12031" width="10.44140625" style="1045" customWidth="1"/>
    <col min="12032" max="12032" width="12.33203125" style="1045" customWidth="1"/>
    <col min="12033" max="12033" width="14.88671875" style="1045" customWidth="1"/>
    <col min="12034" max="12034" width="8.88671875" style="1045"/>
    <col min="12035" max="12035" width="14.33203125" style="1045" customWidth="1"/>
    <col min="12036" max="12036" width="8.88671875" style="1045"/>
    <col min="12037" max="12037" width="10.44140625" style="1045" customWidth="1"/>
    <col min="12038" max="12282" width="8.88671875" style="1045"/>
    <col min="12283" max="12283" width="3" style="1045" customWidth="1"/>
    <col min="12284" max="12284" width="4.33203125" style="1045" customWidth="1"/>
    <col min="12285" max="12285" width="39.44140625" style="1045" customWidth="1"/>
    <col min="12286" max="12286" width="8.88671875" style="1045" customWidth="1"/>
    <col min="12287" max="12287" width="10.44140625" style="1045" customWidth="1"/>
    <col min="12288" max="12288" width="12.33203125" style="1045" customWidth="1"/>
    <col min="12289" max="12289" width="14.88671875" style="1045" customWidth="1"/>
    <col min="12290" max="12290" width="8.88671875" style="1045"/>
    <col min="12291" max="12291" width="14.33203125" style="1045" customWidth="1"/>
    <col min="12292" max="12292" width="8.88671875" style="1045"/>
    <col min="12293" max="12293" width="10.44140625" style="1045" customWidth="1"/>
    <col min="12294" max="12538" width="8.88671875" style="1045"/>
    <col min="12539" max="12539" width="3" style="1045" customWidth="1"/>
    <col min="12540" max="12540" width="4.33203125" style="1045" customWidth="1"/>
    <col min="12541" max="12541" width="39.44140625" style="1045" customWidth="1"/>
    <col min="12542" max="12542" width="8.88671875" style="1045" customWidth="1"/>
    <col min="12543" max="12543" width="10.44140625" style="1045" customWidth="1"/>
    <col min="12544" max="12544" width="12.33203125" style="1045" customWidth="1"/>
    <col min="12545" max="12545" width="14.88671875" style="1045" customWidth="1"/>
    <col min="12546" max="12546" width="8.88671875" style="1045"/>
    <col min="12547" max="12547" width="14.33203125" style="1045" customWidth="1"/>
    <col min="12548" max="12548" width="8.88671875" style="1045"/>
    <col min="12549" max="12549" width="10.44140625" style="1045" customWidth="1"/>
    <col min="12550" max="12794" width="8.88671875" style="1045"/>
    <col min="12795" max="12795" width="3" style="1045" customWidth="1"/>
    <col min="12796" max="12796" width="4.33203125" style="1045" customWidth="1"/>
    <col min="12797" max="12797" width="39.44140625" style="1045" customWidth="1"/>
    <col min="12798" max="12798" width="8.88671875" style="1045" customWidth="1"/>
    <col min="12799" max="12799" width="10.44140625" style="1045" customWidth="1"/>
    <col min="12800" max="12800" width="12.33203125" style="1045" customWidth="1"/>
    <col min="12801" max="12801" width="14.88671875" style="1045" customWidth="1"/>
    <col min="12802" max="12802" width="8.88671875" style="1045"/>
    <col min="12803" max="12803" width="14.33203125" style="1045" customWidth="1"/>
    <col min="12804" max="12804" width="8.88671875" style="1045"/>
    <col min="12805" max="12805" width="10.44140625" style="1045" customWidth="1"/>
    <col min="12806" max="13050" width="8.88671875" style="1045"/>
    <col min="13051" max="13051" width="3" style="1045" customWidth="1"/>
    <col min="13052" max="13052" width="4.33203125" style="1045" customWidth="1"/>
    <col min="13053" max="13053" width="39.44140625" style="1045" customWidth="1"/>
    <col min="13054" max="13054" width="8.88671875" style="1045" customWidth="1"/>
    <col min="13055" max="13055" width="10.44140625" style="1045" customWidth="1"/>
    <col min="13056" max="13056" width="12.33203125" style="1045" customWidth="1"/>
    <col min="13057" max="13057" width="14.88671875" style="1045" customWidth="1"/>
    <col min="13058" max="13058" width="8.88671875" style="1045"/>
    <col min="13059" max="13059" width="14.33203125" style="1045" customWidth="1"/>
    <col min="13060" max="13060" width="8.88671875" style="1045"/>
    <col min="13061" max="13061" width="10.44140625" style="1045" customWidth="1"/>
    <col min="13062" max="13306" width="8.88671875" style="1045"/>
    <col min="13307" max="13307" width="3" style="1045" customWidth="1"/>
    <col min="13308" max="13308" width="4.33203125" style="1045" customWidth="1"/>
    <col min="13309" max="13309" width="39.44140625" style="1045" customWidth="1"/>
    <col min="13310" max="13310" width="8.88671875" style="1045" customWidth="1"/>
    <col min="13311" max="13311" width="10.44140625" style="1045" customWidth="1"/>
    <col min="13312" max="13312" width="12.33203125" style="1045" customWidth="1"/>
    <col min="13313" max="13313" width="14.88671875" style="1045" customWidth="1"/>
    <col min="13314" max="13314" width="8.88671875" style="1045"/>
    <col min="13315" max="13315" width="14.33203125" style="1045" customWidth="1"/>
    <col min="13316" max="13316" width="8.88671875" style="1045"/>
    <col min="13317" max="13317" width="10.44140625" style="1045" customWidth="1"/>
    <col min="13318" max="13562" width="8.88671875" style="1045"/>
    <col min="13563" max="13563" width="3" style="1045" customWidth="1"/>
    <col min="13564" max="13564" width="4.33203125" style="1045" customWidth="1"/>
    <col min="13565" max="13565" width="39.44140625" style="1045" customWidth="1"/>
    <col min="13566" max="13566" width="8.88671875" style="1045" customWidth="1"/>
    <col min="13567" max="13567" width="10.44140625" style="1045" customWidth="1"/>
    <col min="13568" max="13568" width="12.33203125" style="1045" customWidth="1"/>
    <col min="13569" max="13569" width="14.88671875" style="1045" customWidth="1"/>
    <col min="13570" max="13570" width="8.88671875" style="1045"/>
    <col min="13571" max="13571" width="14.33203125" style="1045" customWidth="1"/>
    <col min="13572" max="13572" width="8.88671875" style="1045"/>
    <col min="13573" max="13573" width="10.44140625" style="1045" customWidth="1"/>
    <col min="13574" max="13818" width="8.88671875" style="1045"/>
    <col min="13819" max="13819" width="3" style="1045" customWidth="1"/>
    <col min="13820" max="13820" width="4.33203125" style="1045" customWidth="1"/>
    <col min="13821" max="13821" width="39.44140625" style="1045" customWidth="1"/>
    <col min="13822" max="13822" width="8.88671875" style="1045" customWidth="1"/>
    <col min="13823" max="13823" width="10.44140625" style="1045" customWidth="1"/>
    <col min="13824" max="13824" width="12.33203125" style="1045" customWidth="1"/>
    <col min="13825" max="13825" width="14.88671875" style="1045" customWidth="1"/>
    <col min="13826" max="13826" width="8.88671875" style="1045"/>
    <col min="13827" max="13827" width="14.33203125" style="1045" customWidth="1"/>
    <col min="13828" max="13828" width="8.88671875" style="1045"/>
    <col min="13829" max="13829" width="10.44140625" style="1045" customWidth="1"/>
    <col min="13830" max="14074" width="8.88671875" style="1045"/>
    <col min="14075" max="14075" width="3" style="1045" customWidth="1"/>
    <col min="14076" max="14076" width="4.33203125" style="1045" customWidth="1"/>
    <col min="14077" max="14077" width="39.44140625" style="1045" customWidth="1"/>
    <col min="14078" max="14078" width="8.88671875" style="1045" customWidth="1"/>
    <col min="14079" max="14079" width="10.44140625" style="1045" customWidth="1"/>
    <col min="14080" max="14080" width="12.33203125" style="1045" customWidth="1"/>
    <col min="14081" max="14081" width="14.88671875" style="1045" customWidth="1"/>
    <col min="14082" max="14082" width="8.88671875" style="1045"/>
    <col min="14083" max="14083" width="14.33203125" style="1045" customWidth="1"/>
    <col min="14084" max="14084" width="8.88671875" style="1045"/>
    <col min="14085" max="14085" width="10.44140625" style="1045" customWidth="1"/>
    <col min="14086" max="14330" width="8.88671875" style="1045"/>
    <col min="14331" max="14331" width="3" style="1045" customWidth="1"/>
    <col min="14332" max="14332" width="4.33203125" style="1045" customWidth="1"/>
    <col min="14333" max="14333" width="39.44140625" style="1045" customWidth="1"/>
    <col min="14334" max="14334" width="8.88671875" style="1045" customWidth="1"/>
    <col min="14335" max="14335" width="10.44140625" style="1045" customWidth="1"/>
    <col min="14336" max="14336" width="12.33203125" style="1045" customWidth="1"/>
    <col min="14337" max="14337" width="14.88671875" style="1045" customWidth="1"/>
    <col min="14338" max="14338" width="8.88671875" style="1045"/>
    <col min="14339" max="14339" width="14.33203125" style="1045" customWidth="1"/>
    <col min="14340" max="14340" width="8.88671875" style="1045"/>
    <col min="14341" max="14341" width="10.44140625" style="1045" customWidth="1"/>
    <col min="14342" max="14586" width="8.88671875" style="1045"/>
    <col min="14587" max="14587" width="3" style="1045" customWidth="1"/>
    <col min="14588" max="14588" width="4.33203125" style="1045" customWidth="1"/>
    <col min="14589" max="14589" width="39.44140625" style="1045" customWidth="1"/>
    <col min="14590" max="14590" width="8.88671875" style="1045" customWidth="1"/>
    <col min="14591" max="14591" width="10.44140625" style="1045" customWidth="1"/>
    <col min="14592" max="14592" width="12.33203125" style="1045" customWidth="1"/>
    <col min="14593" max="14593" width="14.88671875" style="1045" customWidth="1"/>
    <col min="14594" max="14594" width="8.88671875" style="1045"/>
    <col min="14595" max="14595" width="14.33203125" style="1045" customWidth="1"/>
    <col min="14596" max="14596" width="8.88671875" style="1045"/>
    <col min="14597" max="14597" width="10.44140625" style="1045" customWidth="1"/>
    <col min="14598" max="14842" width="8.88671875" style="1045"/>
    <col min="14843" max="14843" width="3" style="1045" customWidth="1"/>
    <col min="14844" max="14844" width="4.33203125" style="1045" customWidth="1"/>
    <col min="14845" max="14845" width="39.44140625" style="1045" customWidth="1"/>
    <col min="14846" max="14846" width="8.88671875" style="1045" customWidth="1"/>
    <col min="14847" max="14847" width="10.44140625" style="1045" customWidth="1"/>
    <col min="14848" max="14848" width="12.33203125" style="1045" customWidth="1"/>
    <col min="14849" max="14849" width="14.88671875" style="1045" customWidth="1"/>
    <col min="14850" max="14850" width="8.88671875" style="1045"/>
    <col min="14851" max="14851" width="14.33203125" style="1045" customWidth="1"/>
    <col min="14852" max="14852" width="8.88671875" style="1045"/>
    <col min="14853" max="14853" width="10.44140625" style="1045" customWidth="1"/>
    <col min="14854" max="15098" width="8.88671875" style="1045"/>
    <col min="15099" max="15099" width="3" style="1045" customWidth="1"/>
    <col min="15100" max="15100" width="4.33203125" style="1045" customWidth="1"/>
    <col min="15101" max="15101" width="39.44140625" style="1045" customWidth="1"/>
    <col min="15102" max="15102" width="8.88671875" style="1045" customWidth="1"/>
    <col min="15103" max="15103" width="10.44140625" style="1045" customWidth="1"/>
    <col min="15104" max="15104" width="12.33203125" style="1045" customWidth="1"/>
    <col min="15105" max="15105" width="14.88671875" style="1045" customWidth="1"/>
    <col min="15106" max="15106" width="8.88671875" style="1045"/>
    <col min="15107" max="15107" width="14.33203125" style="1045" customWidth="1"/>
    <col min="15108" max="15108" width="8.88671875" style="1045"/>
    <col min="15109" max="15109" width="10.44140625" style="1045" customWidth="1"/>
    <col min="15110" max="15354" width="8.88671875" style="1045"/>
    <col min="15355" max="15355" width="3" style="1045" customWidth="1"/>
    <col min="15356" max="15356" width="4.33203125" style="1045" customWidth="1"/>
    <col min="15357" max="15357" width="39.44140625" style="1045" customWidth="1"/>
    <col min="15358" max="15358" width="8.88671875" style="1045" customWidth="1"/>
    <col min="15359" max="15359" width="10.44140625" style="1045" customWidth="1"/>
    <col min="15360" max="15360" width="12.33203125" style="1045" customWidth="1"/>
    <col min="15361" max="15361" width="14.88671875" style="1045" customWidth="1"/>
    <col min="15362" max="15362" width="8.88671875" style="1045"/>
    <col min="15363" max="15363" width="14.33203125" style="1045" customWidth="1"/>
    <col min="15364" max="15364" width="8.88671875" style="1045"/>
    <col min="15365" max="15365" width="10.44140625" style="1045" customWidth="1"/>
    <col min="15366" max="15610" width="8.88671875" style="1045"/>
    <col min="15611" max="15611" width="3" style="1045" customWidth="1"/>
    <col min="15612" max="15612" width="4.33203125" style="1045" customWidth="1"/>
    <col min="15613" max="15613" width="39.44140625" style="1045" customWidth="1"/>
    <col min="15614" max="15614" width="8.88671875" style="1045" customWidth="1"/>
    <col min="15615" max="15615" width="10.44140625" style="1045" customWidth="1"/>
    <col min="15616" max="15616" width="12.33203125" style="1045" customWidth="1"/>
    <col min="15617" max="15617" width="14.88671875" style="1045" customWidth="1"/>
    <col min="15618" max="15618" width="8.88671875" style="1045"/>
    <col min="15619" max="15619" width="14.33203125" style="1045" customWidth="1"/>
    <col min="15620" max="15620" width="8.88671875" style="1045"/>
    <col min="15621" max="15621" width="10.44140625" style="1045" customWidth="1"/>
    <col min="15622" max="15866" width="8.88671875" style="1045"/>
    <col min="15867" max="15867" width="3" style="1045" customWidth="1"/>
    <col min="15868" max="15868" width="4.33203125" style="1045" customWidth="1"/>
    <col min="15869" max="15869" width="39.44140625" style="1045" customWidth="1"/>
    <col min="15870" max="15870" width="8.88671875" style="1045" customWidth="1"/>
    <col min="15871" max="15871" width="10.44140625" style="1045" customWidth="1"/>
    <col min="15872" max="15872" width="12.33203125" style="1045" customWidth="1"/>
    <col min="15873" max="15873" width="14.88671875" style="1045" customWidth="1"/>
    <col min="15874" max="15874" width="8.88671875" style="1045"/>
    <col min="15875" max="15875" width="14.33203125" style="1045" customWidth="1"/>
    <col min="15876" max="15876" width="8.88671875" style="1045"/>
    <col min="15877" max="15877" width="10.44140625" style="1045" customWidth="1"/>
    <col min="15878" max="16122" width="8.88671875" style="1045"/>
    <col min="16123" max="16123" width="3" style="1045" customWidth="1"/>
    <col min="16124" max="16124" width="4.33203125" style="1045" customWidth="1"/>
    <col min="16125" max="16125" width="39.44140625" style="1045" customWidth="1"/>
    <col min="16126" max="16126" width="8.88671875" style="1045" customWidth="1"/>
    <col min="16127" max="16127" width="10.44140625" style="1045" customWidth="1"/>
    <col min="16128" max="16128" width="12.33203125" style="1045" customWidth="1"/>
    <col min="16129" max="16129" width="14.88671875" style="1045" customWidth="1"/>
    <col min="16130" max="16130" width="8.88671875" style="1045"/>
    <col min="16131" max="16131" width="14.33203125" style="1045" customWidth="1"/>
    <col min="16132" max="16132" width="8.88671875" style="1045"/>
    <col min="16133" max="16133" width="10.44140625" style="1045" customWidth="1"/>
    <col min="16134" max="16383" width="8.88671875" style="1045"/>
    <col min="16384" max="16384" width="9.109375" style="1045" customWidth="1"/>
  </cols>
  <sheetData>
    <row r="1" spans="1:8" s="1191" customFormat="1" ht="15.6" x14ac:dyDescent="0.25">
      <c r="A1" s="2787" t="s">
        <v>1773</v>
      </c>
      <c r="B1" s="2788"/>
      <c r="C1" s="1505"/>
      <c r="D1" s="1506"/>
      <c r="E1" s="1507"/>
      <c r="F1" s="1508"/>
    </row>
    <row r="2" spans="1:8" s="1191" customFormat="1" ht="15.6" x14ac:dyDescent="0.25">
      <c r="A2" s="1509" t="s">
        <v>1723</v>
      </c>
      <c r="B2" s="1443"/>
      <c r="C2" s="1510"/>
      <c r="D2" s="1511"/>
      <c r="E2" s="1512"/>
      <c r="F2" s="1096"/>
    </row>
    <row r="3" spans="1:8" s="1191" customFormat="1" ht="15.6" x14ac:dyDescent="0.25">
      <c r="A3" s="2785" t="s">
        <v>1774</v>
      </c>
      <c r="B3" s="2786"/>
      <c r="C3" s="1510"/>
      <c r="D3" s="1511"/>
      <c r="E3" s="1512"/>
      <c r="F3" s="1096"/>
    </row>
    <row r="4" spans="1:8" s="1192" customFormat="1" ht="15.6" x14ac:dyDescent="0.3">
      <c r="A4" s="1513"/>
      <c r="B4" s="958"/>
      <c r="C4" s="1514"/>
      <c r="D4" s="1515"/>
      <c r="E4" s="1516"/>
      <c r="F4" s="1517"/>
    </row>
    <row r="5" spans="1:8" s="966" customFormat="1" x14ac:dyDescent="0.25">
      <c r="A5" s="962" t="s">
        <v>683</v>
      </c>
      <c r="B5" s="960" t="s">
        <v>684</v>
      </c>
      <c r="C5" s="961" t="s">
        <v>689</v>
      </c>
      <c r="D5" s="962" t="s">
        <v>691</v>
      </c>
      <c r="E5" s="1193" t="s">
        <v>1820</v>
      </c>
      <c r="F5" s="964" t="s">
        <v>1821</v>
      </c>
    </row>
    <row r="6" spans="1:8" s="966" customFormat="1" x14ac:dyDescent="0.25">
      <c r="A6" s="970"/>
      <c r="B6" s="1194"/>
      <c r="C6" s="969"/>
      <c r="D6" s="970"/>
      <c r="E6" s="976"/>
      <c r="F6" s="972"/>
    </row>
    <row r="7" spans="1:8" s="966" customFormat="1" x14ac:dyDescent="0.25">
      <c r="A7" s="970"/>
      <c r="B7" s="1285" t="s">
        <v>1822</v>
      </c>
      <c r="C7" s="969"/>
      <c r="D7" s="970"/>
      <c r="E7" s="976"/>
      <c r="F7" s="972"/>
    </row>
    <row r="8" spans="1:8" s="966" customFormat="1" x14ac:dyDescent="0.25">
      <c r="A8" s="970"/>
      <c r="B8" s="1194"/>
      <c r="C8" s="969"/>
      <c r="D8" s="970"/>
      <c r="E8" s="976"/>
      <c r="F8" s="972"/>
    </row>
    <row r="9" spans="1:8" s="1202" customFormat="1" ht="47.4" customHeight="1" x14ac:dyDescent="0.25">
      <c r="A9" s="1195"/>
      <c r="B9" s="1196" t="s">
        <v>1775</v>
      </c>
      <c r="C9" s="1197"/>
      <c r="D9" s="1198"/>
      <c r="E9" s="1199"/>
      <c r="F9" s="1008"/>
      <c r="G9" s="1200"/>
      <c r="H9" s="1201"/>
    </row>
    <row r="10" spans="1:8" x14ac:dyDescent="0.25">
      <c r="A10" s="1203"/>
      <c r="B10" s="1204"/>
      <c r="D10" s="997"/>
      <c r="F10" s="1008"/>
      <c r="G10" s="965"/>
      <c r="H10" s="978"/>
    </row>
    <row r="11" spans="1:8" ht="27.6" x14ac:dyDescent="0.25">
      <c r="A11" s="1007"/>
      <c r="B11" s="1124" t="s">
        <v>1776</v>
      </c>
      <c r="D11" s="949" t="s">
        <v>1362</v>
      </c>
      <c r="F11" s="1008"/>
      <c r="G11" s="965"/>
      <c r="H11" s="978"/>
    </row>
    <row r="12" spans="1:8" x14ac:dyDescent="0.25">
      <c r="A12" s="1007"/>
      <c r="B12" s="1124"/>
      <c r="D12" s="1000"/>
      <c r="F12" s="1008"/>
      <c r="G12" s="965"/>
      <c r="H12" s="978"/>
    </row>
    <row r="13" spans="1:8" ht="27.6" x14ac:dyDescent="0.25">
      <c r="A13" s="1007"/>
      <c r="B13" s="1124" t="s">
        <v>1508</v>
      </c>
      <c r="C13" s="1077"/>
      <c r="D13" s="948" t="s">
        <v>1362</v>
      </c>
      <c r="F13" s="1008"/>
      <c r="G13" s="965"/>
      <c r="H13" s="978"/>
    </row>
    <row r="14" spans="1:8" x14ac:dyDescent="0.25">
      <c r="A14" s="1007"/>
      <c r="B14" s="1124"/>
      <c r="C14" s="1077"/>
      <c r="D14" s="948"/>
      <c r="F14" s="1008"/>
      <c r="G14" s="965"/>
      <c r="H14" s="978"/>
    </row>
    <row r="15" spans="1:8" ht="27.6" x14ac:dyDescent="0.25">
      <c r="A15" s="1007"/>
      <c r="B15" s="1124" t="s">
        <v>1777</v>
      </c>
      <c r="C15" s="1077"/>
      <c r="D15" s="948" t="s">
        <v>1362</v>
      </c>
      <c r="F15" s="1008"/>
      <c r="G15" s="965"/>
      <c r="H15" s="978"/>
    </row>
    <row r="16" spans="1:8" x14ac:dyDescent="0.25">
      <c r="A16" s="1007"/>
      <c r="B16" s="1124"/>
      <c r="C16" s="1077"/>
      <c r="D16" s="948"/>
      <c r="F16" s="1008"/>
      <c r="G16" s="965"/>
      <c r="H16" s="978"/>
    </row>
    <row r="17" spans="1:8" ht="55.2" x14ac:dyDescent="0.25">
      <c r="A17" s="1007"/>
      <c r="B17" s="1124" t="s">
        <v>1464</v>
      </c>
      <c r="C17" s="1077"/>
      <c r="D17" s="948" t="s">
        <v>1362</v>
      </c>
      <c r="F17" s="1008"/>
      <c r="G17" s="965"/>
      <c r="H17" s="978"/>
    </row>
    <row r="18" spans="1:8" x14ac:dyDescent="0.25">
      <c r="A18" s="1007"/>
      <c r="B18" s="1124"/>
      <c r="C18" s="1077"/>
      <c r="D18" s="948"/>
      <c r="F18" s="1008"/>
      <c r="G18" s="965"/>
      <c r="H18" s="978"/>
    </row>
    <row r="19" spans="1:8" ht="55.2" x14ac:dyDescent="0.25">
      <c r="A19" s="1007"/>
      <c r="B19" s="1124" t="s">
        <v>1778</v>
      </c>
      <c r="C19" s="1077"/>
      <c r="D19" s="948" t="s">
        <v>1362</v>
      </c>
      <c r="F19" s="1008"/>
      <c r="G19" s="965"/>
      <c r="H19" s="978"/>
    </row>
    <row r="20" spans="1:8" x14ac:dyDescent="0.25">
      <c r="A20" s="1007"/>
      <c r="B20" s="1124"/>
      <c r="C20" s="1077"/>
      <c r="D20" s="948"/>
      <c r="F20" s="1008"/>
      <c r="G20" s="965"/>
      <c r="H20" s="978"/>
    </row>
    <row r="21" spans="1:8" ht="27.6" x14ac:dyDescent="0.25">
      <c r="A21" s="1007"/>
      <c r="B21" s="1124" t="s">
        <v>1779</v>
      </c>
      <c r="C21" s="1077"/>
      <c r="D21" s="948" t="s">
        <v>1362</v>
      </c>
      <c r="F21" s="1008"/>
      <c r="G21" s="965"/>
      <c r="H21" s="978"/>
    </row>
    <row r="22" spans="1:8" x14ac:dyDescent="0.25">
      <c r="A22" s="1007"/>
      <c r="B22" s="1124"/>
      <c r="C22" s="1077"/>
      <c r="D22" s="948"/>
      <c r="F22" s="1008"/>
      <c r="G22" s="965"/>
      <c r="H22" s="978"/>
    </row>
    <row r="23" spans="1:8" ht="41.4" x14ac:dyDescent="0.25">
      <c r="A23" s="1007"/>
      <c r="B23" s="1124" t="s">
        <v>1780</v>
      </c>
      <c r="C23" s="1077"/>
      <c r="D23" s="948" t="s">
        <v>1362</v>
      </c>
      <c r="F23" s="1008"/>
      <c r="G23" s="965"/>
      <c r="H23" s="978"/>
    </row>
    <row r="24" spans="1:8" x14ac:dyDescent="0.25">
      <c r="A24" s="1007"/>
      <c r="B24" s="1124"/>
      <c r="C24" s="1077"/>
      <c r="D24" s="948"/>
      <c r="F24" s="1008"/>
      <c r="G24" s="965"/>
      <c r="H24" s="978"/>
    </row>
    <row r="25" spans="1:8" ht="41.4" x14ac:dyDescent="0.25">
      <c r="A25" s="1007"/>
      <c r="B25" s="1124" t="s">
        <v>1729</v>
      </c>
      <c r="C25" s="1077"/>
      <c r="D25" s="948" t="s">
        <v>1362</v>
      </c>
      <c r="F25" s="1008"/>
      <c r="G25" s="965"/>
      <c r="H25" s="978"/>
    </row>
    <row r="26" spans="1:8" x14ac:dyDescent="0.25">
      <c r="A26" s="1007"/>
      <c r="B26" s="1124"/>
      <c r="C26" s="1077"/>
      <c r="D26" s="948"/>
      <c r="E26" s="949"/>
      <c r="F26" s="1205"/>
      <c r="G26" s="965"/>
      <c r="H26" s="978"/>
    </row>
    <row r="27" spans="1:8" ht="41.4" x14ac:dyDescent="0.25">
      <c r="A27" s="1007"/>
      <c r="B27" s="1124" t="s">
        <v>1514</v>
      </c>
      <c r="C27" s="1077"/>
      <c r="D27" s="948" t="s">
        <v>1362</v>
      </c>
      <c r="E27" s="949"/>
      <c r="F27" s="1008"/>
      <c r="G27" s="965"/>
      <c r="H27" s="978"/>
    </row>
    <row r="28" spans="1:8" x14ac:dyDescent="0.25">
      <c r="A28" s="1007"/>
      <c r="B28" s="1124"/>
      <c r="C28" s="1077"/>
      <c r="D28" s="1206"/>
      <c r="E28" s="949"/>
      <c r="F28" s="1008"/>
      <c r="G28" s="965"/>
      <c r="H28" s="978"/>
    </row>
    <row r="29" spans="1:8" x14ac:dyDescent="0.25">
      <c r="A29" s="1143"/>
      <c r="B29" s="1207" t="s">
        <v>1781</v>
      </c>
      <c r="C29" s="1077"/>
      <c r="D29" s="1208"/>
      <c r="E29" s="949"/>
      <c r="F29" s="1008"/>
      <c r="G29" s="965"/>
    </row>
    <row r="30" spans="1:8" x14ac:dyDescent="0.25">
      <c r="A30" s="1007"/>
      <c r="B30" s="1124"/>
      <c r="C30" s="1077"/>
      <c r="D30" s="948"/>
      <c r="E30" s="949"/>
      <c r="F30" s="1008"/>
      <c r="G30" s="965"/>
      <c r="H30" s="978"/>
    </row>
    <row r="31" spans="1:8" ht="27.6" x14ac:dyDescent="0.25">
      <c r="A31" s="1007"/>
      <c r="B31" s="1124" t="s">
        <v>1782</v>
      </c>
      <c r="C31" s="1077"/>
      <c r="D31" s="948"/>
      <c r="E31" s="949"/>
      <c r="F31" s="1008"/>
      <c r="G31" s="965"/>
      <c r="H31" s="978"/>
    </row>
    <row r="32" spans="1:8" x14ac:dyDescent="0.25">
      <c r="A32" s="1007"/>
      <c r="B32" s="1124"/>
      <c r="C32" s="1077"/>
      <c r="D32" s="948"/>
      <c r="E32" s="949"/>
      <c r="F32" s="1008"/>
      <c r="G32" s="965"/>
      <c r="H32" s="978"/>
    </row>
    <row r="33" spans="1:8" ht="27.6" x14ac:dyDescent="0.25">
      <c r="A33" s="1007"/>
      <c r="B33" s="1124" t="s">
        <v>1783</v>
      </c>
      <c r="C33" s="1077"/>
      <c r="D33" s="948"/>
      <c r="E33" s="949"/>
      <c r="F33" s="1008"/>
      <c r="G33" s="965"/>
      <c r="H33" s="978"/>
    </row>
    <row r="34" spans="1:8" x14ac:dyDescent="0.25">
      <c r="A34" s="1007"/>
      <c r="B34" s="1124"/>
      <c r="C34" s="1077"/>
      <c r="D34" s="948"/>
      <c r="E34" s="949"/>
      <c r="F34" s="1008"/>
      <c r="G34" s="965"/>
      <c r="H34" s="978"/>
    </row>
    <row r="35" spans="1:8" ht="27.6" x14ac:dyDescent="0.25">
      <c r="A35" s="1392"/>
      <c r="B35" s="1518" t="s">
        <v>1784</v>
      </c>
      <c r="C35" s="1319"/>
      <c r="D35" s="1519"/>
      <c r="E35" s="1320"/>
      <c r="F35" s="1138"/>
      <c r="G35" s="965"/>
      <c r="H35" s="978"/>
    </row>
    <row r="36" spans="1:8" x14ac:dyDescent="0.25">
      <c r="A36" s="1394"/>
      <c r="B36" s="1520"/>
      <c r="C36" s="1468"/>
      <c r="D36" s="1521"/>
      <c r="E36" s="1382"/>
      <c r="F36" s="1142"/>
      <c r="G36" s="965"/>
      <c r="H36" s="978"/>
    </row>
    <row r="37" spans="1:8" ht="27.6" x14ac:dyDescent="0.25">
      <c r="A37" s="1007"/>
      <c r="B37" s="1124" t="s">
        <v>1785</v>
      </c>
      <c r="C37" s="1077"/>
      <c r="D37" s="948"/>
      <c r="E37" s="949"/>
      <c r="F37" s="1008"/>
      <c r="G37" s="965"/>
      <c r="H37" s="978"/>
    </row>
    <row r="38" spans="1:8" x14ac:dyDescent="0.25">
      <c r="A38" s="1007"/>
      <c r="B38" s="1124"/>
      <c r="C38" s="1077"/>
      <c r="D38" s="948"/>
      <c r="E38" s="949"/>
      <c r="F38" s="1008"/>
      <c r="G38" s="965"/>
      <c r="H38" s="978"/>
    </row>
    <row r="39" spans="1:8" ht="41.4" x14ac:dyDescent="0.25">
      <c r="A39" s="1007"/>
      <c r="B39" s="1124" t="s">
        <v>1786</v>
      </c>
      <c r="C39" s="1077"/>
      <c r="D39" s="948"/>
      <c r="E39" s="949"/>
      <c r="F39" s="1008"/>
      <c r="G39" s="965"/>
      <c r="H39" s="978"/>
    </row>
    <row r="40" spans="1:8" x14ac:dyDescent="0.25">
      <c r="A40" s="1007"/>
      <c r="B40" s="1124"/>
      <c r="C40" s="1077"/>
      <c r="D40" s="948"/>
      <c r="E40" s="949"/>
      <c r="F40" s="1008"/>
      <c r="G40" s="965"/>
      <c r="H40" s="978"/>
    </row>
    <row r="41" spans="1:8" ht="41.4" x14ac:dyDescent="0.25">
      <c r="A41" s="1007"/>
      <c r="B41" s="1124" t="s">
        <v>1787</v>
      </c>
      <c r="C41" s="1077"/>
      <c r="D41" s="948"/>
      <c r="E41" s="949"/>
      <c r="F41" s="1008"/>
      <c r="G41" s="965"/>
      <c r="H41" s="978"/>
    </row>
    <row r="42" spans="1:8" s="1214" customFormat="1" x14ac:dyDescent="0.25">
      <c r="A42" s="1209"/>
      <c r="B42" s="1210"/>
      <c r="C42" s="1154"/>
      <c r="D42" s="1211"/>
      <c r="E42" s="1212"/>
      <c r="F42" s="1213"/>
      <c r="H42" s="1215"/>
    </row>
    <row r="43" spans="1:8" s="1214" customFormat="1" ht="41.4" x14ac:dyDescent="0.25">
      <c r="A43" s="1209"/>
      <c r="B43" s="904" t="s">
        <v>1788</v>
      </c>
      <c r="C43" s="1216"/>
      <c r="D43" s="1211"/>
      <c r="E43" s="1212"/>
      <c r="F43" s="1213"/>
      <c r="H43" s="1215"/>
    </row>
    <row r="44" spans="1:8" s="1214" customFormat="1" x14ac:dyDescent="0.25">
      <c r="A44" s="1209"/>
      <c r="B44" s="1210"/>
      <c r="C44" s="1216"/>
      <c r="D44" s="1211"/>
      <c r="E44" s="1212"/>
      <c r="F44" s="1213"/>
      <c r="H44" s="1215"/>
    </row>
    <row r="45" spans="1:8" ht="27.6" x14ac:dyDescent="0.25">
      <c r="A45" s="1007"/>
      <c r="B45" s="1217" t="s">
        <v>1789</v>
      </c>
      <c r="C45" s="1218"/>
      <c r="D45" s="1125"/>
      <c r="E45" s="949"/>
      <c r="F45" s="1008"/>
      <c r="G45" s="965"/>
    </row>
    <row r="46" spans="1:8" x14ac:dyDescent="0.25">
      <c r="A46" s="1007"/>
      <c r="B46" s="1217"/>
      <c r="C46" s="1219"/>
      <c r="D46" s="1125"/>
      <c r="E46" s="1220"/>
      <c r="F46" s="1008"/>
      <c r="G46" s="965"/>
    </row>
    <row r="47" spans="1:8" ht="27.6" x14ac:dyDescent="0.25">
      <c r="A47" s="1007"/>
      <c r="B47" s="1217" t="s">
        <v>1790</v>
      </c>
      <c r="C47" s="1219"/>
      <c r="D47" s="1125"/>
      <c r="E47" s="1220"/>
      <c r="F47" s="1008"/>
      <c r="G47" s="965"/>
    </row>
    <row r="48" spans="1:8" s="1214" customFormat="1" x14ac:dyDescent="0.25">
      <c r="A48" s="1209"/>
      <c r="B48" s="1221"/>
      <c r="C48" s="1216"/>
      <c r="D48" s="1211"/>
      <c r="E48" s="1212"/>
      <c r="F48" s="1213"/>
      <c r="H48" s="1215"/>
    </row>
    <row r="49" spans="1:25" s="1214" customFormat="1" x14ac:dyDescent="0.25">
      <c r="A49" s="1209"/>
      <c r="B49" s="1210"/>
      <c r="C49" s="1216"/>
      <c r="D49" s="1503"/>
      <c r="E49" s="976"/>
      <c r="F49" s="1504"/>
      <c r="H49" s="1215"/>
    </row>
    <row r="50" spans="1:25" s="1105" customFormat="1" ht="15.6" x14ac:dyDescent="0.25">
      <c r="A50" s="1000"/>
      <c r="B50" s="1222" t="s">
        <v>1791</v>
      </c>
      <c r="C50" s="1223"/>
      <c r="D50" s="1224"/>
      <c r="E50" s="1225"/>
      <c r="F50" s="1226"/>
      <c r="G50" s="1227"/>
      <c r="H50" s="1228"/>
      <c r="I50" s="1229"/>
      <c r="J50" s="1229"/>
      <c r="K50" s="1229"/>
      <c r="L50" s="1229"/>
      <c r="M50" s="1229"/>
      <c r="N50" s="1229"/>
      <c r="O50" s="1229"/>
      <c r="P50" s="1229"/>
      <c r="Q50" s="1229"/>
      <c r="R50" s="1229"/>
      <c r="S50" s="1229"/>
      <c r="T50" s="1229"/>
      <c r="U50" s="1229"/>
      <c r="V50" s="1229"/>
      <c r="W50" s="1230"/>
      <c r="X50" s="1231"/>
      <c r="Y50" s="1230"/>
    </row>
    <row r="51" spans="1:25" x14ac:dyDescent="0.25">
      <c r="A51" s="1232"/>
      <c r="B51" s="952"/>
      <c r="C51" s="1077"/>
      <c r="D51" s="948"/>
      <c r="F51" s="1008"/>
      <c r="G51" s="965"/>
      <c r="H51" s="978"/>
      <c r="S51" s="1046"/>
      <c r="T51" s="1004"/>
      <c r="U51" s="1046"/>
    </row>
    <row r="52" spans="1:25" s="1122" customFormat="1" ht="87.6" customHeight="1" x14ac:dyDescent="0.25">
      <c r="A52" s="1010">
        <f>IF(C52&gt;0,COUNT(C$12:C52),"")</f>
        <v>1</v>
      </c>
      <c r="B52" s="331" t="s">
        <v>1792</v>
      </c>
      <c r="C52" s="1233">
        <v>14</v>
      </c>
      <c r="D52" s="1125" t="s">
        <v>0</v>
      </c>
      <c r="E52" s="949">
        <v>37250</v>
      </c>
      <c r="F52" s="1234">
        <f>E52*C52</f>
        <v>521500</v>
      </c>
      <c r="H52" s="1235"/>
    </row>
    <row r="53" spans="1:25" x14ac:dyDescent="0.25">
      <c r="A53" s="1010" t="str">
        <f>IF(C53&gt;0,COUNT(C$12:C53),"")</f>
        <v/>
      </c>
      <c r="B53" s="952"/>
      <c r="C53" s="1077"/>
      <c r="D53" s="948"/>
      <c r="F53" s="1008"/>
      <c r="G53" s="965"/>
      <c r="H53" s="978"/>
      <c r="S53" s="1046"/>
      <c r="T53" s="1004"/>
      <c r="U53" s="1046"/>
    </row>
    <row r="54" spans="1:25" ht="88.8" customHeight="1" x14ac:dyDescent="0.25">
      <c r="A54" s="1010">
        <f>IF(C54&gt;0,COUNT(C$12:C54),"")</f>
        <v>2</v>
      </c>
      <c r="B54" s="952" t="s">
        <v>1793</v>
      </c>
      <c r="C54" s="1077">
        <v>4</v>
      </c>
      <c r="D54" s="948" t="s">
        <v>0</v>
      </c>
      <c r="E54" s="949">
        <v>37250</v>
      </c>
      <c r="F54" s="1234">
        <f>E54*C54</f>
        <v>149000</v>
      </c>
      <c r="G54" s="965"/>
      <c r="H54" s="978"/>
      <c r="S54" s="1046"/>
      <c r="T54" s="1004"/>
      <c r="U54" s="1046"/>
    </row>
    <row r="55" spans="1:25" x14ac:dyDescent="0.25">
      <c r="A55" s="1010"/>
      <c r="B55" s="952"/>
      <c r="C55" s="1077"/>
      <c r="D55" s="948"/>
      <c r="E55" s="949"/>
      <c r="F55" s="1234"/>
      <c r="G55" s="965"/>
      <c r="H55" s="978"/>
      <c r="S55" s="1046"/>
      <c r="T55" s="1004"/>
      <c r="U55" s="1046"/>
    </row>
    <row r="56" spans="1:25" ht="129" customHeight="1" x14ac:dyDescent="0.25">
      <c r="A56" s="1010">
        <f>IF(C56&gt;0,COUNT(C$12:C56),"")</f>
        <v>3</v>
      </c>
      <c r="B56" s="952" t="s">
        <v>1794</v>
      </c>
      <c r="C56" s="1077">
        <v>1</v>
      </c>
      <c r="D56" s="948" t="s">
        <v>0</v>
      </c>
      <c r="E56" s="949">
        <v>37250</v>
      </c>
      <c r="F56" s="1234">
        <f>E56*C56</f>
        <v>37250</v>
      </c>
      <c r="G56" s="965"/>
      <c r="H56" s="978"/>
      <c r="S56" s="1046"/>
      <c r="T56" s="1004"/>
      <c r="U56" s="1046"/>
    </row>
    <row r="57" spans="1:25" x14ac:dyDescent="0.25">
      <c r="A57" s="1396" t="str">
        <f>IF(C57&gt;0,COUNT(C$12:C57),"")</f>
        <v/>
      </c>
      <c r="B57" s="1522"/>
      <c r="C57" s="1319"/>
      <c r="D57" s="1519"/>
      <c r="E57" s="1320"/>
      <c r="F57" s="1523"/>
      <c r="G57" s="965"/>
      <c r="H57" s="978"/>
      <c r="S57" s="1046"/>
      <c r="T57" s="1004"/>
      <c r="U57" s="1046"/>
    </row>
    <row r="58" spans="1:25" s="1237" customFormat="1" ht="117.6" customHeight="1" x14ac:dyDescent="0.25">
      <c r="A58" s="1398">
        <f>IF(C58&gt;0,COUNT(C$12:C58),"")</f>
        <v>4</v>
      </c>
      <c r="B58" s="1524" t="s">
        <v>1795</v>
      </c>
      <c r="C58" s="1323">
        <v>1</v>
      </c>
      <c r="D58" s="1525" t="s">
        <v>13</v>
      </c>
      <c r="E58" s="1382">
        <v>425000</v>
      </c>
      <c r="F58" s="1526">
        <f>E58*C58</f>
        <v>425000</v>
      </c>
      <c r="H58" s="1238"/>
    </row>
    <row r="59" spans="1:25" x14ac:dyDescent="0.25">
      <c r="A59" s="1010" t="str">
        <f>IF(C59&gt;0,COUNT(C$12:C59),"")</f>
        <v/>
      </c>
      <c r="B59" s="952"/>
      <c r="C59" s="1077"/>
      <c r="D59" s="948"/>
      <c r="F59" s="1008"/>
      <c r="G59" s="965"/>
      <c r="H59" s="978"/>
      <c r="S59" s="1046"/>
      <c r="T59" s="1004"/>
      <c r="U59" s="1046"/>
    </row>
    <row r="60" spans="1:25" s="1122" customFormat="1" ht="48" customHeight="1" x14ac:dyDescent="0.25">
      <c r="A60" s="1010">
        <f>IF(C60&gt;0,COUNT(C$12:C60),"")</f>
        <v>5</v>
      </c>
      <c r="B60" s="331" t="s">
        <v>1796</v>
      </c>
      <c r="C60" s="1233">
        <v>1</v>
      </c>
      <c r="D60" s="1125" t="s">
        <v>13</v>
      </c>
      <c r="E60" s="949">
        <v>292000</v>
      </c>
      <c r="F60" s="1234">
        <f>E60*C60</f>
        <v>292000</v>
      </c>
      <c r="H60" s="1235"/>
    </row>
    <row r="61" spans="1:25" x14ac:dyDescent="0.25">
      <c r="A61" s="1010" t="str">
        <f>IF(C61&gt;0,COUNT(C$12:C61),"")</f>
        <v/>
      </c>
      <c r="B61" s="952"/>
      <c r="C61" s="1077"/>
      <c r="D61" s="948"/>
      <c r="F61" s="1008"/>
      <c r="G61" s="965"/>
      <c r="H61" s="978"/>
      <c r="S61" s="1046"/>
      <c r="T61" s="1004"/>
      <c r="U61" s="1046"/>
    </row>
    <row r="62" spans="1:25" s="1122" customFormat="1" ht="87.6" customHeight="1" x14ac:dyDescent="0.25">
      <c r="A62" s="1010">
        <f>IF(C62&gt;0,COUNT(C$12:C62),"")</f>
        <v>6</v>
      </c>
      <c r="B62" s="297" t="s">
        <v>1797</v>
      </c>
      <c r="C62" s="1233">
        <v>1</v>
      </c>
      <c r="D62" s="1125" t="s">
        <v>0</v>
      </c>
      <c r="E62" s="949">
        <v>162500</v>
      </c>
      <c r="F62" s="1234">
        <f>E62*C62</f>
        <v>162500</v>
      </c>
      <c r="H62" s="1235"/>
    </row>
    <row r="63" spans="1:25" s="1122" customFormat="1" x14ac:dyDescent="0.25">
      <c r="A63" s="1010"/>
      <c r="B63" s="297"/>
      <c r="C63" s="1233"/>
      <c r="D63" s="1125"/>
      <c r="E63" s="949"/>
      <c r="F63" s="1234"/>
      <c r="H63" s="1235"/>
    </row>
    <row r="64" spans="1:25" s="1237" customFormat="1" ht="73.2" customHeight="1" x14ac:dyDescent="0.25">
      <c r="A64" s="1010">
        <v>7</v>
      </c>
      <c r="B64" s="1236" t="s">
        <v>1798</v>
      </c>
      <c r="C64" s="1233">
        <v>1</v>
      </c>
      <c r="D64" s="1125" t="s">
        <v>13</v>
      </c>
      <c r="E64" s="949">
        <v>260000</v>
      </c>
      <c r="F64" s="1234">
        <f>E64*C64</f>
        <v>260000</v>
      </c>
      <c r="H64" s="1238"/>
    </row>
    <row r="65" spans="1:10" s="1237" customFormat="1" x14ac:dyDescent="0.25">
      <c r="A65" s="1010"/>
      <c r="B65" s="1236"/>
      <c r="C65" s="1233"/>
      <c r="D65" s="1125"/>
      <c r="E65" s="949"/>
      <c r="F65" s="1234"/>
      <c r="H65" s="1238"/>
    </row>
    <row r="66" spans="1:10" s="1237" customFormat="1" ht="62.4" customHeight="1" x14ac:dyDescent="0.25">
      <c r="A66" s="1010">
        <v>8</v>
      </c>
      <c r="B66" s="1236" t="s">
        <v>1799</v>
      </c>
      <c r="C66" s="1233">
        <v>1</v>
      </c>
      <c r="D66" s="1125" t="s">
        <v>13</v>
      </c>
      <c r="E66" s="949">
        <v>360000</v>
      </c>
      <c r="F66" s="1234">
        <f>E66*C66</f>
        <v>360000</v>
      </c>
    </row>
    <row r="67" spans="1:10" s="1122" customFormat="1" x14ac:dyDescent="0.25">
      <c r="A67" s="1010" t="str">
        <f>IF(C67&gt;0,COUNT(C$12:C67),"")</f>
        <v/>
      </c>
      <c r="B67" s="1236"/>
      <c r="C67" s="1233"/>
      <c r="D67" s="1125"/>
      <c r="E67" s="949"/>
      <c r="F67" s="1239"/>
      <c r="H67" s="1235"/>
      <c r="J67" s="1235"/>
    </row>
    <row r="68" spans="1:10" s="1242" customFormat="1" ht="132.6" customHeight="1" x14ac:dyDescent="0.25">
      <c r="A68" s="1010">
        <f>IF(C68&gt;0,COUNT(C$12:C68),"")</f>
        <v>9</v>
      </c>
      <c r="B68" s="1240" t="s">
        <v>1800</v>
      </c>
      <c r="C68" s="1233">
        <v>1</v>
      </c>
      <c r="D68" s="1125" t="s">
        <v>13</v>
      </c>
      <c r="E68" s="1241">
        <v>800000</v>
      </c>
      <c r="F68" s="1234">
        <f>E68*C68</f>
        <v>800000</v>
      </c>
    </row>
    <row r="69" spans="1:10" s="1242" customFormat="1" x14ac:dyDescent="0.25">
      <c r="A69" s="1010"/>
      <c r="B69" s="1240"/>
      <c r="C69" s="1233"/>
      <c r="D69" s="1125"/>
      <c r="E69" s="1241"/>
      <c r="F69" s="1234"/>
    </row>
    <row r="70" spans="1:10" s="1242" customFormat="1" ht="74.400000000000006" customHeight="1" x14ac:dyDescent="0.25">
      <c r="A70" s="1010">
        <f>IF(C70&gt;0,COUNT(C$12:C70),"")</f>
        <v>10</v>
      </c>
      <c r="B70" s="1240" t="s">
        <v>1801</v>
      </c>
      <c r="C70" s="1233">
        <v>1</v>
      </c>
      <c r="D70" s="1125" t="s">
        <v>13</v>
      </c>
      <c r="E70" s="1241">
        <v>560000</v>
      </c>
      <c r="F70" s="1234">
        <f>E70*C70</f>
        <v>560000</v>
      </c>
    </row>
    <row r="71" spans="1:10" s="1242" customFormat="1" x14ac:dyDescent="0.25">
      <c r="A71" s="1396"/>
      <c r="B71" s="1527"/>
      <c r="C71" s="1528"/>
      <c r="D71" s="1529"/>
      <c r="E71" s="1530"/>
      <c r="F71" s="1531"/>
    </row>
    <row r="72" spans="1:10" s="1122" customFormat="1" ht="106.2" customHeight="1" x14ac:dyDescent="0.25">
      <c r="A72" s="1398">
        <f>IF(C72&gt;0,COUNT(C$12:C72),"")</f>
        <v>11</v>
      </c>
      <c r="B72" s="1524" t="s">
        <v>1802</v>
      </c>
      <c r="C72" s="1323">
        <v>1</v>
      </c>
      <c r="D72" s="1532" t="s">
        <v>13</v>
      </c>
      <c r="E72" s="1533">
        <v>60000</v>
      </c>
      <c r="F72" s="1526">
        <f>E72*C72</f>
        <v>60000</v>
      </c>
      <c r="H72" s="1235"/>
    </row>
    <row r="73" spans="1:10" s="1122" customFormat="1" x14ac:dyDescent="0.25">
      <c r="A73" s="1010" t="str">
        <f>IF(C73&gt;0,COUNT(C$12:C73),"")</f>
        <v/>
      </c>
      <c r="B73" s="1236"/>
      <c r="C73" s="1244"/>
      <c r="D73" s="1245"/>
      <c r="E73" s="1243"/>
      <c r="F73" s="1243"/>
      <c r="H73" s="1235"/>
    </row>
    <row r="74" spans="1:10" s="1122" customFormat="1" ht="33" customHeight="1" x14ac:dyDescent="0.25">
      <c r="A74" s="1010" t="str">
        <f>IF(C74&gt;0,COUNT(C$12:C74),"")</f>
        <v/>
      </c>
      <c r="B74" s="1236" t="s">
        <v>1803</v>
      </c>
      <c r="C74" s="1233"/>
      <c r="D74" s="1125" t="s">
        <v>1362</v>
      </c>
      <c r="E74" s="949"/>
      <c r="F74" s="1234"/>
      <c r="H74" s="1235"/>
    </row>
    <row r="75" spans="1:10" s="1122" customFormat="1" x14ac:dyDescent="0.25">
      <c r="A75" s="1010" t="str">
        <f>IF(C75&gt;0,COUNT(C$12:C75),"")</f>
        <v/>
      </c>
      <c r="B75" s="1236"/>
      <c r="C75" s="1244"/>
      <c r="D75" s="1245"/>
      <c r="E75" s="1243"/>
      <c r="F75" s="1243"/>
      <c r="H75" s="1235"/>
    </row>
    <row r="76" spans="1:10" s="1122" customFormat="1" ht="49.8" customHeight="1" x14ac:dyDescent="0.25">
      <c r="A76" s="1010" t="str">
        <f>IF(C76&gt;0,COUNT(C$12:C76),"")</f>
        <v/>
      </c>
      <c r="B76" s="1236" t="s">
        <v>1804</v>
      </c>
      <c r="C76" s="1233"/>
      <c r="D76" s="1125" t="s">
        <v>1362</v>
      </c>
      <c r="E76" s="949"/>
      <c r="F76" s="1234"/>
      <c r="H76" s="1235"/>
    </row>
    <row r="77" spans="1:10" s="1122" customFormat="1" x14ac:dyDescent="0.25">
      <c r="A77" s="1010"/>
      <c r="B77" s="1236"/>
      <c r="C77" s="1233"/>
      <c r="D77" s="1125"/>
      <c r="E77" s="949"/>
      <c r="F77" s="1234"/>
      <c r="H77" s="1235"/>
    </row>
    <row r="78" spans="1:10" s="1122" customFormat="1" ht="46.2" customHeight="1" x14ac:dyDescent="0.25">
      <c r="A78" s="1010" t="str">
        <f>IF(C78&gt;0,COUNT(C$12:C78),"")</f>
        <v/>
      </c>
      <c r="B78" s="1236" t="s">
        <v>1686</v>
      </c>
      <c r="C78" s="1233"/>
      <c r="D78" s="1125" t="s">
        <v>1362</v>
      </c>
      <c r="E78" s="949"/>
      <c r="F78" s="1234"/>
      <c r="H78" s="1235"/>
    </row>
    <row r="79" spans="1:10" s="1122" customFormat="1" x14ac:dyDescent="0.25">
      <c r="A79" s="1010"/>
      <c r="B79" s="1236"/>
      <c r="C79" s="1233"/>
      <c r="D79" s="1246"/>
      <c r="E79" s="949"/>
      <c r="F79" s="1234"/>
      <c r="H79" s="1235"/>
    </row>
    <row r="80" spans="1:10" s="1065" customFormat="1" x14ac:dyDescent="0.25">
      <c r="A80" s="1010" t="str">
        <f>IF(C80&gt;0,COUNT(C$12:C80),"")</f>
        <v/>
      </c>
      <c r="B80" s="1158" t="s">
        <v>1689</v>
      </c>
      <c r="C80" s="1233"/>
      <c r="D80" s="1154"/>
      <c r="E80" s="1247"/>
      <c r="F80" s="1248"/>
    </row>
    <row r="81" spans="1:23" s="1250" customFormat="1" ht="49.8" customHeight="1" x14ac:dyDescent="0.2">
      <c r="A81" s="1010">
        <f>IF(C81&gt;0,COUNT(C$12:C81),"")</f>
        <v>12</v>
      </c>
      <c r="B81" s="952" t="s">
        <v>1690</v>
      </c>
      <c r="C81" s="1233">
        <v>1</v>
      </c>
      <c r="D81" s="1154" t="s">
        <v>13</v>
      </c>
      <c r="E81" s="1249">
        <v>80000</v>
      </c>
      <c r="F81" s="1234">
        <f>E81*C81</f>
        <v>80000</v>
      </c>
    </row>
    <row r="82" spans="1:23" s="1250" customFormat="1" x14ac:dyDescent="0.2">
      <c r="A82" s="1010" t="str">
        <f>IF(C82&gt;0,COUNT(C$12:C82),"")</f>
        <v/>
      </c>
      <c r="B82" s="946"/>
      <c r="C82" s="1251"/>
      <c r="D82" s="1252"/>
      <c r="E82" s="1249"/>
      <c r="F82" s="1253"/>
    </row>
    <row r="83" spans="1:23" s="1250" customFormat="1" x14ac:dyDescent="0.2">
      <c r="A83" s="1010" t="str">
        <f>IF(C83&gt;0,COUNT(C$12:C83),"")</f>
        <v/>
      </c>
      <c r="B83" s="1018" t="s">
        <v>1691</v>
      </c>
      <c r="C83" s="1233"/>
      <c r="D83" s="1154"/>
      <c r="E83" s="1249"/>
      <c r="F83" s="1253"/>
    </row>
    <row r="84" spans="1:23" s="1250" customFormat="1" ht="31.2" customHeight="1" x14ac:dyDescent="0.2">
      <c r="A84" s="1010">
        <f>IF(C84&gt;0,COUNT(C$12:C84),"")</f>
        <v>13</v>
      </c>
      <c r="B84" s="946" t="s">
        <v>1692</v>
      </c>
      <c r="C84" s="1233">
        <v>1</v>
      </c>
      <c r="D84" s="1154" t="s">
        <v>13</v>
      </c>
      <c r="E84" s="1249">
        <v>100000</v>
      </c>
      <c r="F84" s="1234">
        <f>E84*C84</f>
        <v>100000</v>
      </c>
    </row>
    <row r="85" spans="1:23" s="1250" customFormat="1" x14ac:dyDescent="0.2">
      <c r="A85" s="1010" t="str">
        <f>IF(C85&gt;0,COUNT(C$12:C85),"")</f>
        <v/>
      </c>
      <c r="B85" s="946"/>
      <c r="C85" s="1251"/>
      <c r="D85" s="1252"/>
      <c r="E85" s="1249"/>
      <c r="F85" s="1253"/>
    </row>
    <row r="86" spans="1:23" s="1250" customFormat="1" x14ac:dyDescent="0.2">
      <c r="A86" s="1010" t="str">
        <f>IF(C86&gt;0,COUNT(C$12:C86),"")</f>
        <v/>
      </c>
      <c r="B86" s="1018" t="s">
        <v>1693</v>
      </c>
      <c r="C86" s="1233"/>
      <c r="D86" s="1154"/>
      <c r="E86" s="1249"/>
      <c r="F86" s="1253"/>
    </row>
    <row r="87" spans="1:23" s="1250" customFormat="1" ht="75" customHeight="1" x14ac:dyDescent="0.2">
      <c r="A87" s="1010">
        <f>IF(C87&gt;0,COUNT(C$12:C87),"")</f>
        <v>14</v>
      </c>
      <c r="B87" s="946" t="s">
        <v>1805</v>
      </c>
      <c r="C87" s="1233">
        <v>1</v>
      </c>
      <c r="D87" s="1154" t="s">
        <v>13</v>
      </c>
      <c r="E87" s="1249"/>
      <c r="F87" s="1234">
        <f>E87*C87</f>
        <v>0</v>
      </c>
    </row>
    <row r="88" spans="1:23" s="1258" customFormat="1" x14ac:dyDescent="0.2">
      <c r="A88" s="1254"/>
      <c r="B88" s="1038"/>
      <c r="C88" s="1251"/>
      <c r="D88" s="1255"/>
      <c r="E88" s="1256"/>
      <c r="F88" s="1257"/>
    </row>
    <row r="89" spans="1:23" s="1264" customFormat="1" ht="14.4" thickBot="1" x14ac:dyDescent="0.3">
      <c r="A89" s="1259" t="str">
        <f>IF(C89&gt;0,COUNT(C89:C$115),"")</f>
        <v/>
      </c>
      <c r="B89" s="1260" t="s">
        <v>1695</v>
      </c>
      <c r="C89" s="1069"/>
      <c r="D89" s="1261"/>
      <c r="E89" s="1262" t="s">
        <v>83</v>
      </c>
      <c r="F89" s="1263">
        <f>SUM(F52:F88)</f>
        <v>3807250</v>
      </c>
      <c r="U89" s="1265"/>
      <c r="V89" s="1266"/>
      <c r="W89" s="1265"/>
    </row>
    <row r="90" spans="1:23" s="1264" customFormat="1" ht="14.4" thickTop="1" x14ac:dyDescent="0.25">
      <c r="A90" s="1534"/>
      <c r="B90" s="1267"/>
      <c r="C90" s="1074"/>
      <c r="D90" s="1268"/>
      <c r="E90" s="1269"/>
      <c r="F90" s="1535"/>
      <c r="U90" s="1265"/>
      <c r="V90" s="1266"/>
      <c r="W90" s="1265"/>
    </row>
    <row r="91" spans="1:23" s="1264" customFormat="1" x14ac:dyDescent="0.25">
      <c r="A91" s="1534"/>
      <c r="B91" s="1267"/>
      <c r="C91" s="1074"/>
      <c r="D91" s="1268"/>
      <c r="E91" s="1269"/>
      <c r="F91" s="1535"/>
      <c r="U91" s="1265"/>
      <c r="V91" s="1266"/>
      <c r="W91" s="1265"/>
    </row>
    <row r="92" spans="1:23" s="1264" customFormat="1" ht="27.6" x14ac:dyDescent="0.25">
      <c r="A92" s="1534"/>
      <c r="B92" s="1271" t="s">
        <v>1806</v>
      </c>
      <c r="C92" s="1074"/>
      <c r="D92" s="1268"/>
      <c r="E92" s="1269"/>
      <c r="F92" s="1535"/>
      <c r="U92" s="1265"/>
      <c r="V92" s="1266"/>
      <c r="W92" s="1265"/>
    </row>
    <row r="93" spans="1:23" s="1122" customFormat="1" x14ac:dyDescent="0.25">
      <c r="A93" s="1423" t="str">
        <f>IF(C93&gt;0,COUNT(C$64:C93),"")</f>
        <v/>
      </c>
      <c r="B93" s="1235"/>
      <c r="C93" s="56"/>
      <c r="D93" s="1272"/>
      <c r="E93" s="1273"/>
      <c r="F93" s="1536"/>
    </row>
    <row r="94" spans="1:23" s="1122" customFormat="1" x14ac:dyDescent="0.25">
      <c r="A94" s="1423"/>
      <c r="B94" s="1274" t="s">
        <v>1807</v>
      </c>
      <c r="C94" s="56"/>
      <c r="D94" s="1272"/>
      <c r="E94" s="1085"/>
      <c r="F94" s="1536"/>
    </row>
    <row r="95" spans="1:23" s="1122" customFormat="1" x14ac:dyDescent="0.25">
      <c r="A95" s="1423"/>
      <c r="B95" s="1274"/>
      <c r="C95" s="56"/>
      <c r="D95" s="1272"/>
      <c r="E95" s="1085"/>
      <c r="F95" s="1536"/>
    </row>
    <row r="96" spans="1:23" s="1122" customFormat="1" x14ac:dyDescent="0.25">
      <c r="A96" s="1423"/>
      <c r="B96" s="1274" t="s">
        <v>1808</v>
      </c>
      <c r="C96" s="56"/>
      <c r="D96" s="1272"/>
      <c r="E96" s="1085"/>
      <c r="F96" s="1536"/>
    </row>
    <row r="97" spans="1:6" s="1122" customFormat="1" x14ac:dyDescent="0.25">
      <c r="A97" s="1423"/>
      <c r="B97" s="1274"/>
      <c r="C97" s="56"/>
      <c r="D97" s="1272"/>
      <c r="E97" s="1085"/>
      <c r="F97" s="1536"/>
    </row>
    <row r="98" spans="1:6" s="1122" customFormat="1" x14ac:dyDescent="0.25">
      <c r="A98" s="1423"/>
      <c r="B98" s="1274" t="s">
        <v>1809</v>
      </c>
      <c r="C98" s="56"/>
      <c r="D98" s="1272"/>
      <c r="E98" s="1085"/>
      <c r="F98" s="1536"/>
    </row>
    <row r="99" spans="1:6" s="1122" customFormat="1" x14ac:dyDescent="0.25">
      <c r="A99" s="1423"/>
      <c r="B99" s="1274"/>
      <c r="C99" s="56"/>
      <c r="D99" s="1272"/>
      <c r="E99" s="1085"/>
      <c r="F99" s="1536"/>
    </row>
    <row r="100" spans="1:6" s="1122" customFormat="1" x14ac:dyDescent="0.25">
      <c r="A100" s="1423"/>
      <c r="B100" s="1274" t="s">
        <v>1810</v>
      </c>
      <c r="C100" s="56"/>
      <c r="D100" s="1272"/>
      <c r="E100" s="1085"/>
      <c r="F100" s="1536"/>
    </row>
    <row r="101" spans="1:6" s="1122" customFormat="1" x14ac:dyDescent="0.25">
      <c r="A101" s="1423"/>
      <c r="B101" s="1274"/>
      <c r="C101" s="56"/>
      <c r="D101" s="1272"/>
      <c r="E101" s="1085"/>
      <c r="F101" s="1536"/>
    </row>
    <row r="102" spans="1:6" s="1122" customFormat="1" x14ac:dyDescent="0.25">
      <c r="A102" s="1423"/>
      <c r="B102" s="1274" t="s">
        <v>1811</v>
      </c>
      <c r="C102" s="56"/>
      <c r="D102" s="1272"/>
      <c r="E102" s="1085"/>
      <c r="F102" s="1536"/>
    </row>
    <row r="103" spans="1:6" s="1122" customFormat="1" x14ac:dyDescent="0.25">
      <c r="A103" s="1423" t="s">
        <v>1203</v>
      </c>
      <c r="B103" s="1274"/>
      <c r="C103" s="56"/>
      <c r="D103" s="1272"/>
      <c r="E103" s="1085"/>
      <c r="F103" s="1536"/>
    </row>
    <row r="104" spans="1:6" s="1122" customFormat="1" x14ac:dyDescent="0.25">
      <c r="A104" s="1423"/>
      <c r="B104" s="1274" t="s">
        <v>1812</v>
      </c>
      <c r="C104" s="56"/>
      <c r="D104" s="1272"/>
      <c r="E104" s="1085"/>
      <c r="F104" s="1536"/>
    </row>
    <row r="105" spans="1:6" s="1122" customFormat="1" x14ac:dyDescent="0.25">
      <c r="A105" s="1423"/>
      <c r="B105" s="1274"/>
      <c r="C105" s="56"/>
      <c r="D105" s="1272"/>
      <c r="E105" s="1085"/>
      <c r="F105" s="1536"/>
    </row>
    <row r="106" spans="1:6" s="1122" customFormat="1" x14ac:dyDescent="0.25">
      <c r="A106" s="1537"/>
      <c r="B106" s="1538" t="s">
        <v>1813</v>
      </c>
      <c r="C106" s="1539"/>
      <c r="D106" s="1540"/>
      <c r="E106" s="1433"/>
      <c r="F106" s="1541"/>
    </row>
    <row r="107" spans="1:6" s="1122" customFormat="1" x14ac:dyDescent="0.25">
      <c r="A107" s="1417" t="s">
        <v>1857</v>
      </c>
      <c r="B107" s="1542"/>
      <c r="C107" s="1543"/>
      <c r="D107" s="1544"/>
      <c r="E107" s="1545"/>
      <c r="F107" s="1546"/>
    </row>
    <row r="108" spans="1:6" s="1122" customFormat="1" x14ac:dyDescent="0.25">
      <c r="A108" s="1423"/>
      <c r="B108" s="1276" t="s">
        <v>1814</v>
      </c>
      <c r="C108" s="56"/>
      <c r="D108" s="1272"/>
      <c r="E108" s="1085"/>
      <c r="F108" s="1536"/>
    </row>
    <row r="109" spans="1:6" s="1122" customFormat="1" x14ac:dyDescent="0.25">
      <c r="A109" s="1423"/>
      <c r="B109" s="1275"/>
      <c r="C109" s="56"/>
      <c r="D109" s="1272"/>
      <c r="E109" s="1085"/>
      <c r="F109" s="1536"/>
    </row>
    <row r="110" spans="1:6" s="1122" customFormat="1" x14ac:dyDescent="0.25">
      <c r="A110" s="1423"/>
      <c r="B110" s="1276" t="s">
        <v>1815</v>
      </c>
      <c r="C110" s="56"/>
      <c r="D110" s="1272"/>
      <c r="E110" s="1085"/>
      <c r="F110" s="1536"/>
    </row>
    <row r="111" spans="1:6" s="1122" customFormat="1" x14ac:dyDescent="0.25">
      <c r="A111" s="1423"/>
      <c r="B111" s="1276"/>
      <c r="C111" s="56"/>
      <c r="D111" s="1272"/>
      <c r="E111" s="1085"/>
      <c r="F111" s="1536"/>
    </row>
    <row r="112" spans="1:6" s="1122" customFormat="1" x14ac:dyDescent="0.25">
      <c r="A112" s="1423"/>
      <c r="B112" s="1276" t="s">
        <v>1816</v>
      </c>
      <c r="C112" s="56"/>
      <c r="D112" s="1272"/>
      <c r="E112" s="1085"/>
      <c r="F112" s="1536"/>
    </row>
    <row r="113" spans="1:6" s="1122" customFormat="1" x14ac:dyDescent="0.25">
      <c r="A113" s="1423"/>
      <c r="B113" s="1276"/>
      <c r="C113" s="56"/>
      <c r="D113" s="1272"/>
      <c r="E113" s="1085"/>
      <c r="F113" s="1536"/>
    </row>
    <row r="114" spans="1:6" s="1122" customFormat="1" ht="55.2" x14ac:dyDescent="0.25">
      <c r="A114" s="1423" t="str">
        <f>IF(C114&gt;0,COUNT(C114:C$116),"")</f>
        <v/>
      </c>
      <c r="B114" s="1277" t="s">
        <v>1817</v>
      </c>
      <c r="C114" s="1277"/>
      <c r="D114" s="1277"/>
      <c r="E114" s="1278"/>
      <c r="F114" s="1547"/>
    </row>
    <row r="115" spans="1:6" s="1122" customFormat="1" x14ac:dyDescent="0.25">
      <c r="A115" s="1423" t="str">
        <f>IF(C115&gt;0,COUNT(C115:C$116),"")</f>
        <v/>
      </c>
      <c r="B115" s="1279"/>
      <c r="C115" s="56"/>
      <c r="D115" s="1272"/>
      <c r="E115" s="1085"/>
      <c r="F115" s="1548"/>
    </row>
    <row r="116" spans="1:6" s="1122" customFormat="1" ht="41.4" x14ac:dyDescent="0.25">
      <c r="A116" s="1423" t="str">
        <f>IF(C116&gt;0,COUNT(C116:C$116),"")</f>
        <v/>
      </c>
      <c r="B116" s="1277" t="s">
        <v>1818</v>
      </c>
      <c r="C116" s="1277"/>
      <c r="D116" s="1277"/>
      <c r="E116" s="1280"/>
      <c r="F116" s="1549"/>
    </row>
    <row r="117" spans="1:6" s="1122" customFormat="1" x14ac:dyDescent="0.25">
      <c r="A117" s="1423" t="str">
        <f>IF(C117&gt;0,COUNT(C$116:C117),"")</f>
        <v/>
      </c>
      <c r="B117" s="1279"/>
      <c r="C117" s="56"/>
      <c r="D117" s="1272"/>
      <c r="E117" s="1085"/>
      <c r="F117" s="1548"/>
    </row>
    <row r="118" spans="1:6" s="1122" customFormat="1" ht="41.4" x14ac:dyDescent="0.25">
      <c r="A118" s="1423" t="str">
        <f>IF(C118&gt;0,COUNT(C$116:C118),"")</f>
        <v/>
      </c>
      <c r="B118" s="1281" t="s">
        <v>1819</v>
      </c>
      <c r="C118" s="1281"/>
      <c r="D118" s="1281"/>
      <c r="E118" s="1227"/>
      <c r="F118" s="1550"/>
    </row>
    <row r="119" spans="1:6" s="1122" customFormat="1" x14ac:dyDescent="0.25">
      <c r="A119" s="1423" t="str">
        <f>IF(C119&gt;0,COUNT(C$64:C119),"")</f>
        <v/>
      </c>
      <c r="B119" s="1235"/>
      <c r="C119" s="56"/>
      <c r="D119" s="1272"/>
      <c r="E119" s="1085"/>
      <c r="F119" s="1536"/>
    </row>
    <row r="120" spans="1:6" s="1122" customFormat="1" x14ac:dyDescent="0.25">
      <c r="A120" s="1423"/>
      <c r="B120" s="1235"/>
      <c r="C120" s="56"/>
      <c r="D120" s="1272"/>
      <c r="E120" s="1085"/>
      <c r="F120" s="1536"/>
    </row>
    <row r="121" spans="1:6" s="1122" customFormat="1" x14ac:dyDescent="0.25">
      <c r="A121" s="1423" t="str">
        <f>IF(C121&gt;0,COUNT(C$64:C121),"")</f>
        <v/>
      </c>
      <c r="B121" s="1275" t="s">
        <v>1716</v>
      </c>
      <c r="C121" s="56"/>
      <c r="D121" s="1272"/>
      <c r="E121" s="1085"/>
      <c r="F121" s="1536"/>
    </row>
    <row r="122" spans="1:6" s="1122" customFormat="1" x14ac:dyDescent="0.25">
      <c r="A122" s="1423" t="str">
        <f>IF(C122&gt;0,COUNT(C$64:C122),"")</f>
        <v/>
      </c>
      <c r="B122" s="1275"/>
      <c r="C122" s="56"/>
      <c r="D122" s="1272"/>
      <c r="E122" s="1085"/>
      <c r="F122" s="1536"/>
    </row>
    <row r="123" spans="1:6" s="1122" customFormat="1" x14ac:dyDescent="0.25">
      <c r="A123" s="1423" t="str">
        <f>IF(C123&gt;0,COUNT(C$64:C123),"")</f>
        <v/>
      </c>
      <c r="B123" s="1275"/>
      <c r="C123" s="56"/>
      <c r="D123" s="1272"/>
      <c r="E123" s="1085"/>
      <c r="F123" s="1536"/>
    </row>
    <row r="124" spans="1:6" s="1122" customFormat="1" x14ac:dyDescent="0.25">
      <c r="A124" s="1423" t="str">
        <f>IF(C124&gt;0,COUNT(C$64:C124),"")</f>
        <v/>
      </c>
      <c r="B124" s="1275"/>
      <c r="C124" s="56"/>
      <c r="D124" s="1272"/>
      <c r="E124" s="1085"/>
      <c r="F124" s="1536"/>
    </row>
    <row r="125" spans="1:6" s="1122" customFormat="1" x14ac:dyDescent="0.25">
      <c r="A125" s="1423" t="str">
        <f>IF(C125&gt;0,COUNT(C$64:C125),"")</f>
        <v/>
      </c>
      <c r="B125" s="1275" t="s">
        <v>1717</v>
      </c>
      <c r="C125" s="56"/>
      <c r="D125" s="1272"/>
      <c r="E125" s="1085"/>
      <c r="F125" s="1536"/>
    </row>
    <row r="126" spans="1:6" s="1122" customFormat="1" x14ac:dyDescent="0.25">
      <c r="A126" s="1423" t="str">
        <f>IF(C126&gt;0,COUNT(C$64:C126),"")</f>
        <v/>
      </c>
      <c r="B126" s="1275"/>
      <c r="C126" s="56"/>
      <c r="D126" s="1272"/>
      <c r="E126" s="1085"/>
      <c r="F126" s="1536"/>
    </row>
    <row r="127" spans="1:6" s="1122" customFormat="1" x14ac:dyDescent="0.25">
      <c r="A127" s="1423" t="str">
        <f>IF(C127&gt;0,COUNT(C$64:C127),"")</f>
        <v/>
      </c>
      <c r="B127" s="1275"/>
      <c r="C127" s="56"/>
      <c r="D127" s="1272"/>
      <c r="E127" s="1085"/>
      <c r="F127" s="1551"/>
    </row>
    <row r="128" spans="1:6" s="1122" customFormat="1" x14ac:dyDescent="0.25">
      <c r="A128" s="1423" t="str">
        <f>IF(C128&gt;0,COUNT(C$64:C128),"")</f>
        <v/>
      </c>
      <c r="B128" s="1275"/>
      <c r="C128" s="56"/>
      <c r="D128" s="1272"/>
      <c r="E128" s="1085"/>
      <c r="F128" s="1551"/>
    </row>
    <row r="129" spans="1:6" s="1122" customFormat="1" x14ac:dyDescent="0.25">
      <c r="A129" s="1423" t="str">
        <f>IF(C129&gt;0,COUNT(C$64:C129),"")</f>
        <v/>
      </c>
      <c r="B129" s="1275" t="s">
        <v>1718</v>
      </c>
      <c r="C129" s="56"/>
      <c r="D129" s="1272"/>
      <c r="E129" s="1085"/>
      <c r="F129" s="1551"/>
    </row>
    <row r="130" spans="1:6" s="1122" customFormat="1" x14ac:dyDescent="0.25">
      <c r="A130" s="1423" t="str">
        <f>IF(C130&gt;0,COUNT(C$64:C130),"")</f>
        <v/>
      </c>
      <c r="B130" s="1275"/>
      <c r="C130" s="56"/>
      <c r="D130" s="1272"/>
      <c r="E130" s="1085"/>
      <c r="F130" s="1551"/>
    </row>
    <row r="131" spans="1:6" s="1122" customFormat="1" x14ac:dyDescent="0.25">
      <c r="A131" s="1423" t="str">
        <f>IF(C131&gt;0,COUNT(C$64:C131),"")</f>
        <v/>
      </c>
      <c r="B131" s="1275"/>
      <c r="C131" s="56"/>
      <c r="D131" s="1272"/>
      <c r="E131" s="1085"/>
      <c r="F131" s="1551"/>
    </row>
    <row r="132" spans="1:6" s="1122" customFormat="1" x14ac:dyDescent="0.25">
      <c r="A132" s="1423" t="str">
        <f>IF(C132&gt;0,COUNT(C$64:C132),"")</f>
        <v/>
      </c>
      <c r="B132" s="1275"/>
      <c r="C132" s="56"/>
      <c r="D132" s="1272"/>
      <c r="E132" s="1085"/>
      <c r="F132" s="1551"/>
    </row>
    <row r="133" spans="1:6" s="1122" customFormat="1" x14ac:dyDescent="0.25">
      <c r="A133" s="1537" t="str">
        <f>IF(C133&gt;0,COUNT(C$64:C133),"")</f>
        <v/>
      </c>
      <c r="B133" s="1498" t="s">
        <v>1719</v>
      </c>
      <c r="C133" s="1539"/>
      <c r="D133" s="1540"/>
      <c r="E133" s="1433"/>
      <c r="F133" s="1541"/>
    </row>
  </sheetData>
  <protectedRanges>
    <protectedRange password="D55D" sqref="B30:B41 B94:B106" name="Range1_3_1_1"/>
    <protectedRange sqref="E50 G50" name="Range1_2_1_1_1_1_2_1_1_1"/>
    <protectedRange sqref="G52 G58 G62:G65 G72:G79" name="Range1_4_1_1_2_1_1_2_1"/>
    <protectedRange sqref="G67" name="Range1_4_1_1_2_1_1_2_1_1"/>
    <protectedRange sqref="G60" name="Range1_4_1_1_2_1_1_2_4"/>
    <protectedRange password="D55D" sqref="B43 B108" name="Range1_3_1_1_6_3"/>
    <protectedRange password="D55D" sqref="B13:B14 B16:B28" name="Range1_3_1_1_9"/>
    <protectedRange password="D55D" sqref="B15" name="Range1_3_1_1_3_2"/>
    <protectedRange password="D55D" sqref="B45:B47 B110:B113" name="Range1_3_1_1_6_3_1"/>
    <protectedRange password="D55D" sqref="B29" name="Range1_3_1_1_6_1_1_1"/>
    <protectedRange sqref="G66" name="Range1_4_1_1_2_1_1_2_1_1_1"/>
    <protectedRange sqref="G68:G71" name="Range1_4_1_1_2_1_1_2_1_1_1_1"/>
  </protectedRanges>
  <mergeCells count="2">
    <mergeCell ref="A1:B1"/>
    <mergeCell ref="A3:B3"/>
  </mergeCells>
  <pageMargins left="0.7" right="0.7" top="0.75" bottom="0.75" header="0.3" footer="0.3"/>
  <pageSetup paperSize="9" scale="9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B124"/>
  <sheetViews>
    <sheetView view="pageBreakPreview" topLeftCell="A67" zoomScale="98" zoomScaleNormal="100" zoomScaleSheetLayoutView="98" workbookViewId="0">
      <selection activeCell="A101" sqref="A101:F111"/>
    </sheetView>
  </sheetViews>
  <sheetFormatPr defaultRowHeight="13.8" x14ac:dyDescent="0.25"/>
  <cols>
    <col min="1" max="1" width="5.88671875" style="1091" customWidth="1"/>
    <col min="2" max="2" width="48.33203125" style="1092" customWidth="1"/>
    <col min="3" max="3" width="5.21875" style="1090" bestFit="1" customWidth="1"/>
    <col min="4" max="4" width="6" style="1093" bestFit="1" customWidth="1"/>
    <col min="5" max="5" width="10.33203125" style="1094" bestFit="1" customWidth="1"/>
    <col min="6" max="6" width="13" style="1095" bestFit="1" customWidth="1"/>
    <col min="7" max="7" width="13" style="965" customWidth="1"/>
    <col min="8" max="8" width="8.88671875" style="978"/>
    <col min="9" max="248" width="8.88671875" style="1045"/>
    <col min="249" max="249" width="3" style="1045" customWidth="1"/>
    <col min="250" max="250" width="4.33203125" style="1045" customWidth="1"/>
    <col min="251" max="251" width="39.44140625" style="1045" customWidth="1"/>
    <col min="252" max="252" width="8.88671875" style="1045" customWidth="1"/>
    <col min="253" max="253" width="10.44140625" style="1045" customWidth="1"/>
    <col min="254" max="254" width="12.33203125" style="1045" customWidth="1"/>
    <col min="255" max="255" width="14.88671875" style="1045" customWidth="1"/>
    <col min="256" max="256" width="8.88671875" style="1045"/>
    <col min="257" max="257" width="14.33203125" style="1045" customWidth="1"/>
    <col min="258" max="258" width="8.88671875" style="1045"/>
    <col min="259" max="259" width="10.44140625" style="1045" customWidth="1"/>
    <col min="260" max="504" width="8.88671875" style="1045"/>
    <col min="505" max="505" width="3" style="1045" customWidth="1"/>
    <col min="506" max="506" width="4.33203125" style="1045" customWidth="1"/>
    <col min="507" max="507" width="39.44140625" style="1045" customWidth="1"/>
    <col min="508" max="508" width="8.88671875" style="1045" customWidth="1"/>
    <col min="509" max="509" width="10.44140625" style="1045" customWidth="1"/>
    <col min="510" max="510" width="12.33203125" style="1045" customWidth="1"/>
    <col min="511" max="511" width="14.88671875" style="1045" customWidth="1"/>
    <col min="512" max="512" width="8.88671875" style="1045"/>
    <col min="513" max="513" width="14.33203125" style="1045" customWidth="1"/>
    <col min="514" max="514" width="8.88671875" style="1045"/>
    <col min="515" max="515" width="10.44140625" style="1045" customWidth="1"/>
    <col min="516" max="760" width="8.88671875" style="1045"/>
    <col min="761" max="761" width="3" style="1045" customWidth="1"/>
    <col min="762" max="762" width="4.33203125" style="1045" customWidth="1"/>
    <col min="763" max="763" width="39.44140625" style="1045" customWidth="1"/>
    <col min="764" max="764" width="8.88671875" style="1045" customWidth="1"/>
    <col min="765" max="765" width="10.44140625" style="1045" customWidth="1"/>
    <col min="766" max="766" width="12.33203125" style="1045" customWidth="1"/>
    <col min="767" max="767" width="14.88671875" style="1045" customWidth="1"/>
    <col min="768" max="768" width="8.88671875" style="1045"/>
    <col min="769" max="769" width="14.33203125" style="1045" customWidth="1"/>
    <col min="770" max="770" width="8.88671875" style="1045"/>
    <col min="771" max="771" width="10.44140625" style="1045" customWidth="1"/>
    <col min="772" max="1016" width="8.88671875" style="1045"/>
    <col min="1017" max="1017" width="3" style="1045" customWidth="1"/>
    <col min="1018" max="1018" width="4.33203125" style="1045" customWidth="1"/>
    <col min="1019" max="1019" width="39.44140625" style="1045" customWidth="1"/>
    <col min="1020" max="1020" width="8.88671875" style="1045" customWidth="1"/>
    <col min="1021" max="1021" width="10.44140625" style="1045" customWidth="1"/>
    <col min="1022" max="1022" width="12.33203125" style="1045" customWidth="1"/>
    <col min="1023" max="1023" width="14.88671875" style="1045" customWidth="1"/>
    <col min="1024" max="1024" width="8.88671875" style="1045"/>
    <col min="1025" max="1025" width="14.33203125" style="1045" customWidth="1"/>
    <col min="1026" max="1026" width="8.88671875" style="1045"/>
    <col min="1027" max="1027" width="10.44140625" style="1045" customWidth="1"/>
    <col min="1028" max="1272" width="8.88671875" style="1045"/>
    <col min="1273" max="1273" width="3" style="1045" customWidth="1"/>
    <col min="1274" max="1274" width="4.33203125" style="1045" customWidth="1"/>
    <col min="1275" max="1275" width="39.44140625" style="1045" customWidth="1"/>
    <col min="1276" max="1276" width="8.88671875" style="1045" customWidth="1"/>
    <col min="1277" max="1277" width="10.44140625" style="1045" customWidth="1"/>
    <col min="1278" max="1278" width="12.33203125" style="1045" customWidth="1"/>
    <col min="1279" max="1279" width="14.88671875" style="1045" customWidth="1"/>
    <col min="1280" max="1280" width="8.88671875" style="1045"/>
    <col min="1281" max="1281" width="14.33203125" style="1045" customWidth="1"/>
    <col min="1282" max="1282" width="8.88671875" style="1045"/>
    <col min="1283" max="1283" width="10.44140625" style="1045" customWidth="1"/>
    <col min="1284" max="1528" width="8.88671875" style="1045"/>
    <col min="1529" max="1529" width="3" style="1045" customWidth="1"/>
    <col min="1530" max="1530" width="4.33203125" style="1045" customWidth="1"/>
    <col min="1531" max="1531" width="39.44140625" style="1045" customWidth="1"/>
    <col min="1532" max="1532" width="8.88671875" style="1045" customWidth="1"/>
    <col min="1533" max="1533" width="10.44140625" style="1045" customWidth="1"/>
    <col min="1534" max="1534" width="12.33203125" style="1045" customWidth="1"/>
    <col min="1535" max="1535" width="14.88671875" style="1045" customWidth="1"/>
    <col min="1536" max="1536" width="8.88671875" style="1045"/>
    <col min="1537" max="1537" width="14.33203125" style="1045" customWidth="1"/>
    <col min="1538" max="1538" width="8.88671875" style="1045"/>
    <col min="1539" max="1539" width="10.44140625" style="1045" customWidth="1"/>
    <col min="1540" max="1784" width="8.88671875" style="1045"/>
    <col min="1785" max="1785" width="3" style="1045" customWidth="1"/>
    <col min="1786" max="1786" width="4.33203125" style="1045" customWidth="1"/>
    <col min="1787" max="1787" width="39.44140625" style="1045" customWidth="1"/>
    <col min="1788" max="1788" width="8.88671875" style="1045" customWidth="1"/>
    <col min="1789" max="1789" width="10.44140625" style="1045" customWidth="1"/>
    <col min="1790" max="1790" width="12.33203125" style="1045" customWidth="1"/>
    <col min="1791" max="1791" width="14.88671875" style="1045" customWidth="1"/>
    <col min="1792" max="1792" width="8.88671875" style="1045"/>
    <col min="1793" max="1793" width="14.33203125" style="1045" customWidth="1"/>
    <col min="1794" max="1794" width="8.88671875" style="1045"/>
    <col min="1795" max="1795" width="10.44140625" style="1045" customWidth="1"/>
    <col min="1796" max="2040" width="8.88671875" style="1045"/>
    <col min="2041" max="2041" width="3" style="1045" customWidth="1"/>
    <col min="2042" max="2042" width="4.33203125" style="1045" customWidth="1"/>
    <col min="2043" max="2043" width="39.44140625" style="1045" customWidth="1"/>
    <col min="2044" max="2044" width="8.88671875" style="1045" customWidth="1"/>
    <col min="2045" max="2045" width="10.44140625" style="1045" customWidth="1"/>
    <col min="2046" max="2046" width="12.33203125" style="1045" customWidth="1"/>
    <col min="2047" max="2047" width="14.88671875" style="1045" customWidth="1"/>
    <col min="2048" max="2048" width="8.88671875" style="1045"/>
    <col min="2049" max="2049" width="14.33203125" style="1045" customWidth="1"/>
    <col min="2050" max="2050" width="8.88671875" style="1045"/>
    <col min="2051" max="2051" width="10.44140625" style="1045" customWidth="1"/>
    <col min="2052" max="2296" width="8.88671875" style="1045"/>
    <col min="2297" max="2297" width="3" style="1045" customWidth="1"/>
    <col min="2298" max="2298" width="4.33203125" style="1045" customWidth="1"/>
    <col min="2299" max="2299" width="39.44140625" style="1045" customWidth="1"/>
    <col min="2300" max="2300" width="8.88671875" style="1045" customWidth="1"/>
    <col min="2301" max="2301" width="10.44140625" style="1045" customWidth="1"/>
    <col min="2302" max="2302" width="12.33203125" style="1045" customWidth="1"/>
    <col min="2303" max="2303" width="14.88671875" style="1045" customWidth="1"/>
    <col min="2304" max="2304" width="8.88671875" style="1045"/>
    <col min="2305" max="2305" width="14.33203125" style="1045" customWidth="1"/>
    <col min="2306" max="2306" width="8.88671875" style="1045"/>
    <col min="2307" max="2307" width="10.44140625" style="1045" customWidth="1"/>
    <col min="2308" max="2552" width="8.88671875" style="1045"/>
    <col min="2553" max="2553" width="3" style="1045" customWidth="1"/>
    <col min="2554" max="2554" width="4.33203125" style="1045" customWidth="1"/>
    <col min="2555" max="2555" width="39.44140625" style="1045" customWidth="1"/>
    <col min="2556" max="2556" width="8.88671875" style="1045" customWidth="1"/>
    <col min="2557" max="2557" width="10.44140625" style="1045" customWidth="1"/>
    <col min="2558" max="2558" width="12.33203125" style="1045" customWidth="1"/>
    <col min="2559" max="2559" width="14.88671875" style="1045" customWidth="1"/>
    <col min="2560" max="2560" width="8.88671875" style="1045"/>
    <col min="2561" max="2561" width="14.33203125" style="1045" customWidth="1"/>
    <col min="2562" max="2562" width="8.88671875" style="1045"/>
    <col min="2563" max="2563" width="10.44140625" style="1045" customWidth="1"/>
    <col min="2564" max="2808" width="8.88671875" style="1045"/>
    <col min="2809" max="2809" width="3" style="1045" customWidth="1"/>
    <col min="2810" max="2810" width="4.33203125" style="1045" customWidth="1"/>
    <col min="2811" max="2811" width="39.44140625" style="1045" customWidth="1"/>
    <col min="2812" max="2812" width="8.88671875" style="1045" customWidth="1"/>
    <col min="2813" max="2813" width="10.44140625" style="1045" customWidth="1"/>
    <col min="2814" max="2814" width="12.33203125" style="1045" customWidth="1"/>
    <col min="2815" max="2815" width="14.88671875" style="1045" customWidth="1"/>
    <col min="2816" max="2816" width="8.88671875" style="1045"/>
    <col min="2817" max="2817" width="14.33203125" style="1045" customWidth="1"/>
    <col min="2818" max="2818" width="8.88671875" style="1045"/>
    <col min="2819" max="2819" width="10.44140625" style="1045" customWidth="1"/>
    <col min="2820" max="3064" width="8.88671875" style="1045"/>
    <col min="3065" max="3065" width="3" style="1045" customWidth="1"/>
    <col min="3066" max="3066" width="4.33203125" style="1045" customWidth="1"/>
    <col min="3067" max="3067" width="39.44140625" style="1045" customWidth="1"/>
    <col min="3068" max="3068" width="8.88671875" style="1045" customWidth="1"/>
    <col min="3069" max="3069" width="10.44140625" style="1045" customWidth="1"/>
    <col min="3070" max="3070" width="12.33203125" style="1045" customWidth="1"/>
    <col min="3071" max="3071" width="14.88671875" style="1045" customWidth="1"/>
    <col min="3072" max="3072" width="8.88671875" style="1045"/>
    <col min="3073" max="3073" width="14.33203125" style="1045" customWidth="1"/>
    <col min="3074" max="3074" width="8.88671875" style="1045"/>
    <col min="3075" max="3075" width="10.44140625" style="1045" customWidth="1"/>
    <col min="3076" max="3320" width="8.88671875" style="1045"/>
    <col min="3321" max="3321" width="3" style="1045" customWidth="1"/>
    <col min="3322" max="3322" width="4.33203125" style="1045" customWidth="1"/>
    <col min="3323" max="3323" width="39.44140625" style="1045" customWidth="1"/>
    <col min="3324" max="3324" width="8.88671875" style="1045" customWidth="1"/>
    <col min="3325" max="3325" width="10.44140625" style="1045" customWidth="1"/>
    <col min="3326" max="3326" width="12.33203125" style="1045" customWidth="1"/>
    <col min="3327" max="3327" width="14.88671875" style="1045" customWidth="1"/>
    <col min="3328" max="3328" width="8.88671875" style="1045"/>
    <col min="3329" max="3329" width="14.33203125" style="1045" customWidth="1"/>
    <col min="3330" max="3330" width="8.88671875" style="1045"/>
    <col min="3331" max="3331" width="10.44140625" style="1045" customWidth="1"/>
    <col min="3332" max="3576" width="8.88671875" style="1045"/>
    <col min="3577" max="3577" width="3" style="1045" customWidth="1"/>
    <col min="3578" max="3578" width="4.33203125" style="1045" customWidth="1"/>
    <col min="3579" max="3579" width="39.44140625" style="1045" customWidth="1"/>
    <col min="3580" max="3580" width="8.88671875" style="1045" customWidth="1"/>
    <col min="3581" max="3581" width="10.44140625" style="1045" customWidth="1"/>
    <col min="3582" max="3582" width="12.33203125" style="1045" customWidth="1"/>
    <col min="3583" max="3583" width="14.88671875" style="1045" customWidth="1"/>
    <col min="3584" max="3584" width="8.88671875" style="1045"/>
    <col min="3585" max="3585" width="14.33203125" style="1045" customWidth="1"/>
    <col min="3586" max="3586" width="8.88671875" style="1045"/>
    <col min="3587" max="3587" width="10.44140625" style="1045" customWidth="1"/>
    <col min="3588" max="3832" width="8.88671875" style="1045"/>
    <col min="3833" max="3833" width="3" style="1045" customWidth="1"/>
    <col min="3834" max="3834" width="4.33203125" style="1045" customWidth="1"/>
    <col min="3835" max="3835" width="39.44140625" style="1045" customWidth="1"/>
    <col min="3836" max="3836" width="8.88671875" style="1045" customWidth="1"/>
    <col min="3837" max="3837" width="10.44140625" style="1045" customWidth="1"/>
    <col min="3838" max="3838" width="12.33203125" style="1045" customWidth="1"/>
    <col min="3839" max="3839" width="14.88671875" style="1045" customWidth="1"/>
    <col min="3840" max="3840" width="8.88671875" style="1045"/>
    <col min="3841" max="3841" width="14.33203125" style="1045" customWidth="1"/>
    <col min="3842" max="3842" width="8.88671875" style="1045"/>
    <col min="3843" max="3843" width="10.44140625" style="1045" customWidth="1"/>
    <col min="3844" max="4088" width="8.88671875" style="1045"/>
    <col min="4089" max="4089" width="3" style="1045" customWidth="1"/>
    <col min="4090" max="4090" width="4.33203125" style="1045" customWidth="1"/>
    <col min="4091" max="4091" width="39.44140625" style="1045" customWidth="1"/>
    <col min="4092" max="4092" width="8.88671875" style="1045" customWidth="1"/>
    <col min="4093" max="4093" width="10.44140625" style="1045" customWidth="1"/>
    <col min="4094" max="4094" width="12.33203125" style="1045" customWidth="1"/>
    <col min="4095" max="4095" width="14.88671875" style="1045" customWidth="1"/>
    <col min="4096" max="4096" width="8.88671875" style="1045"/>
    <col min="4097" max="4097" width="14.33203125" style="1045" customWidth="1"/>
    <col min="4098" max="4098" width="8.88671875" style="1045"/>
    <col min="4099" max="4099" width="10.44140625" style="1045" customWidth="1"/>
    <col min="4100" max="4344" width="8.88671875" style="1045"/>
    <col min="4345" max="4345" width="3" style="1045" customWidth="1"/>
    <col min="4346" max="4346" width="4.33203125" style="1045" customWidth="1"/>
    <col min="4347" max="4347" width="39.44140625" style="1045" customWidth="1"/>
    <col min="4348" max="4348" width="8.88671875" style="1045" customWidth="1"/>
    <col min="4349" max="4349" width="10.44140625" style="1045" customWidth="1"/>
    <col min="4350" max="4350" width="12.33203125" style="1045" customWidth="1"/>
    <col min="4351" max="4351" width="14.88671875" style="1045" customWidth="1"/>
    <col min="4352" max="4352" width="8.88671875" style="1045"/>
    <col min="4353" max="4353" width="14.33203125" style="1045" customWidth="1"/>
    <col min="4354" max="4354" width="8.88671875" style="1045"/>
    <col min="4355" max="4355" width="10.44140625" style="1045" customWidth="1"/>
    <col min="4356" max="4600" width="8.88671875" style="1045"/>
    <col min="4601" max="4601" width="3" style="1045" customWidth="1"/>
    <col min="4602" max="4602" width="4.33203125" style="1045" customWidth="1"/>
    <col min="4603" max="4603" width="39.44140625" style="1045" customWidth="1"/>
    <col min="4604" max="4604" width="8.88671875" style="1045" customWidth="1"/>
    <col min="4605" max="4605" width="10.44140625" style="1045" customWidth="1"/>
    <col min="4606" max="4606" width="12.33203125" style="1045" customWidth="1"/>
    <col min="4607" max="4607" width="14.88671875" style="1045" customWidth="1"/>
    <col min="4608" max="4608" width="8.88671875" style="1045"/>
    <col min="4609" max="4609" width="14.33203125" style="1045" customWidth="1"/>
    <col min="4610" max="4610" width="8.88671875" style="1045"/>
    <col min="4611" max="4611" width="10.44140625" style="1045" customWidth="1"/>
    <col min="4612" max="4856" width="8.88671875" style="1045"/>
    <col min="4857" max="4857" width="3" style="1045" customWidth="1"/>
    <col min="4858" max="4858" width="4.33203125" style="1045" customWidth="1"/>
    <col min="4859" max="4859" width="39.44140625" style="1045" customWidth="1"/>
    <col min="4860" max="4860" width="8.88671875" style="1045" customWidth="1"/>
    <col min="4861" max="4861" width="10.44140625" style="1045" customWidth="1"/>
    <col min="4862" max="4862" width="12.33203125" style="1045" customWidth="1"/>
    <col min="4863" max="4863" width="14.88671875" style="1045" customWidth="1"/>
    <col min="4864" max="4864" width="8.88671875" style="1045"/>
    <col min="4865" max="4865" width="14.33203125" style="1045" customWidth="1"/>
    <col min="4866" max="4866" width="8.88671875" style="1045"/>
    <col min="4867" max="4867" width="10.44140625" style="1045" customWidth="1"/>
    <col min="4868" max="5112" width="8.88671875" style="1045"/>
    <col min="5113" max="5113" width="3" style="1045" customWidth="1"/>
    <col min="5114" max="5114" width="4.33203125" style="1045" customWidth="1"/>
    <col min="5115" max="5115" width="39.44140625" style="1045" customWidth="1"/>
    <col min="5116" max="5116" width="8.88671875" style="1045" customWidth="1"/>
    <col min="5117" max="5117" width="10.44140625" style="1045" customWidth="1"/>
    <col min="5118" max="5118" width="12.33203125" style="1045" customWidth="1"/>
    <col min="5119" max="5119" width="14.88671875" style="1045" customWidth="1"/>
    <col min="5120" max="5120" width="8.88671875" style="1045"/>
    <col min="5121" max="5121" width="14.33203125" style="1045" customWidth="1"/>
    <col min="5122" max="5122" width="8.88671875" style="1045"/>
    <col min="5123" max="5123" width="10.44140625" style="1045" customWidth="1"/>
    <col min="5124" max="5368" width="8.88671875" style="1045"/>
    <col min="5369" max="5369" width="3" style="1045" customWidth="1"/>
    <col min="5370" max="5370" width="4.33203125" style="1045" customWidth="1"/>
    <col min="5371" max="5371" width="39.44140625" style="1045" customWidth="1"/>
    <col min="5372" max="5372" width="8.88671875" style="1045" customWidth="1"/>
    <col min="5373" max="5373" width="10.44140625" style="1045" customWidth="1"/>
    <col min="5374" max="5374" width="12.33203125" style="1045" customWidth="1"/>
    <col min="5375" max="5375" width="14.88671875" style="1045" customWidth="1"/>
    <col min="5376" max="5376" width="8.88671875" style="1045"/>
    <col min="5377" max="5377" width="14.33203125" style="1045" customWidth="1"/>
    <col min="5378" max="5378" width="8.88671875" style="1045"/>
    <col min="5379" max="5379" width="10.44140625" style="1045" customWidth="1"/>
    <col min="5380" max="5624" width="8.88671875" style="1045"/>
    <col min="5625" max="5625" width="3" style="1045" customWidth="1"/>
    <col min="5626" max="5626" width="4.33203125" style="1045" customWidth="1"/>
    <col min="5627" max="5627" width="39.44140625" style="1045" customWidth="1"/>
    <col min="5628" max="5628" width="8.88671875" style="1045" customWidth="1"/>
    <col min="5629" max="5629" width="10.44140625" style="1045" customWidth="1"/>
    <col min="5630" max="5630" width="12.33203125" style="1045" customWidth="1"/>
    <col min="5631" max="5631" width="14.88671875" style="1045" customWidth="1"/>
    <col min="5632" max="5632" width="8.88671875" style="1045"/>
    <col min="5633" max="5633" width="14.33203125" style="1045" customWidth="1"/>
    <col min="5634" max="5634" width="8.88671875" style="1045"/>
    <col min="5635" max="5635" width="10.44140625" style="1045" customWidth="1"/>
    <col min="5636" max="5880" width="8.88671875" style="1045"/>
    <col min="5881" max="5881" width="3" style="1045" customWidth="1"/>
    <col min="5882" max="5882" width="4.33203125" style="1045" customWidth="1"/>
    <col min="5883" max="5883" width="39.44140625" style="1045" customWidth="1"/>
    <col min="5884" max="5884" width="8.88671875" style="1045" customWidth="1"/>
    <col min="5885" max="5885" width="10.44140625" style="1045" customWidth="1"/>
    <col min="5886" max="5886" width="12.33203125" style="1045" customWidth="1"/>
    <col min="5887" max="5887" width="14.88671875" style="1045" customWidth="1"/>
    <col min="5888" max="5888" width="8.88671875" style="1045"/>
    <col min="5889" max="5889" width="14.33203125" style="1045" customWidth="1"/>
    <col min="5890" max="5890" width="8.88671875" style="1045"/>
    <col min="5891" max="5891" width="10.44140625" style="1045" customWidth="1"/>
    <col min="5892" max="6136" width="8.88671875" style="1045"/>
    <col min="6137" max="6137" width="3" style="1045" customWidth="1"/>
    <col min="6138" max="6138" width="4.33203125" style="1045" customWidth="1"/>
    <col min="6139" max="6139" width="39.44140625" style="1045" customWidth="1"/>
    <col min="6140" max="6140" width="8.88671875" style="1045" customWidth="1"/>
    <col min="6141" max="6141" width="10.44140625" style="1045" customWidth="1"/>
    <col min="6142" max="6142" width="12.33203125" style="1045" customWidth="1"/>
    <col min="6143" max="6143" width="14.88671875" style="1045" customWidth="1"/>
    <col min="6144" max="6144" width="8.88671875" style="1045"/>
    <col min="6145" max="6145" width="14.33203125" style="1045" customWidth="1"/>
    <col min="6146" max="6146" width="8.88671875" style="1045"/>
    <col min="6147" max="6147" width="10.44140625" style="1045" customWidth="1"/>
    <col min="6148" max="6392" width="8.88671875" style="1045"/>
    <col min="6393" max="6393" width="3" style="1045" customWidth="1"/>
    <col min="6394" max="6394" width="4.33203125" style="1045" customWidth="1"/>
    <col min="6395" max="6395" width="39.44140625" style="1045" customWidth="1"/>
    <col min="6396" max="6396" width="8.88671875" style="1045" customWidth="1"/>
    <col min="6397" max="6397" width="10.44140625" style="1045" customWidth="1"/>
    <col min="6398" max="6398" width="12.33203125" style="1045" customWidth="1"/>
    <col min="6399" max="6399" width="14.88671875" style="1045" customWidth="1"/>
    <col min="6400" max="6400" width="8.88671875" style="1045"/>
    <col min="6401" max="6401" width="14.33203125" style="1045" customWidth="1"/>
    <col min="6402" max="6402" width="8.88671875" style="1045"/>
    <col min="6403" max="6403" width="10.44140625" style="1045" customWidth="1"/>
    <col min="6404" max="6648" width="8.88671875" style="1045"/>
    <col min="6649" max="6649" width="3" style="1045" customWidth="1"/>
    <col min="6650" max="6650" width="4.33203125" style="1045" customWidth="1"/>
    <col min="6651" max="6651" width="39.44140625" style="1045" customWidth="1"/>
    <col min="6652" max="6652" width="8.88671875" style="1045" customWidth="1"/>
    <col min="6653" max="6653" width="10.44140625" style="1045" customWidth="1"/>
    <col min="6654" max="6654" width="12.33203125" style="1045" customWidth="1"/>
    <col min="6655" max="6655" width="14.88671875" style="1045" customWidth="1"/>
    <col min="6656" max="6656" width="8.88671875" style="1045"/>
    <col min="6657" max="6657" width="14.33203125" style="1045" customWidth="1"/>
    <col min="6658" max="6658" width="8.88671875" style="1045"/>
    <col min="6659" max="6659" width="10.44140625" style="1045" customWidth="1"/>
    <col min="6660" max="6904" width="8.88671875" style="1045"/>
    <col min="6905" max="6905" width="3" style="1045" customWidth="1"/>
    <col min="6906" max="6906" width="4.33203125" style="1045" customWidth="1"/>
    <col min="6907" max="6907" width="39.44140625" style="1045" customWidth="1"/>
    <col min="6908" max="6908" width="8.88671875" style="1045" customWidth="1"/>
    <col min="6909" max="6909" width="10.44140625" style="1045" customWidth="1"/>
    <col min="6910" max="6910" width="12.33203125" style="1045" customWidth="1"/>
    <col min="6911" max="6911" width="14.88671875" style="1045" customWidth="1"/>
    <col min="6912" max="6912" width="8.88671875" style="1045"/>
    <col min="6913" max="6913" width="14.33203125" style="1045" customWidth="1"/>
    <col min="6914" max="6914" width="8.88671875" style="1045"/>
    <col min="6915" max="6915" width="10.44140625" style="1045" customWidth="1"/>
    <col min="6916" max="7160" width="8.88671875" style="1045"/>
    <col min="7161" max="7161" width="3" style="1045" customWidth="1"/>
    <col min="7162" max="7162" width="4.33203125" style="1045" customWidth="1"/>
    <col min="7163" max="7163" width="39.44140625" style="1045" customWidth="1"/>
    <col min="7164" max="7164" width="8.88671875" style="1045" customWidth="1"/>
    <col min="7165" max="7165" width="10.44140625" style="1045" customWidth="1"/>
    <col min="7166" max="7166" width="12.33203125" style="1045" customWidth="1"/>
    <col min="7167" max="7167" width="14.88671875" style="1045" customWidth="1"/>
    <col min="7168" max="7168" width="8.88671875" style="1045"/>
    <col min="7169" max="7169" width="14.33203125" style="1045" customWidth="1"/>
    <col min="7170" max="7170" width="8.88671875" style="1045"/>
    <col min="7171" max="7171" width="10.44140625" style="1045" customWidth="1"/>
    <col min="7172" max="7416" width="8.88671875" style="1045"/>
    <col min="7417" max="7417" width="3" style="1045" customWidth="1"/>
    <col min="7418" max="7418" width="4.33203125" style="1045" customWidth="1"/>
    <col min="7419" max="7419" width="39.44140625" style="1045" customWidth="1"/>
    <col min="7420" max="7420" width="8.88671875" style="1045" customWidth="1"/>
    <col min="7421" max="7421" width="10.44140625" style="1045" customWidth="1"/>
    <col min="7422" max="7422" width="12.33203125" style="1045" customWidth="1"/>
    <col min="7423" max="7423" width="14.88671875" style="1045" customWidth="1"/>
    <col min="7424" max="7424" width="8.88671875" style="1045"/>
    <col min="7425" max="7425" width="14.33203125" style="1045" customWidth="1"/>
    <col min="7426" max="7426" width="8.88671875" style="1045"/>
    <col min="7427" max="7427" width="10.44140625" style="1045" customWidth="1"/>
    <col min="7428" max="7672" width="8.88671875" style="1045"/>
    <col min="7673" max="7673" width="3" style="1045" customWidth="1"/>
    <col min="7674" max="7674" width="4.33203125" style="1045" customWidth="1"/>
    <col min="7675" max="7675" width="39.44140625" style="1045" customWidth="1"/>
    <col min="7676" max="7676" width="8.88671875" style="1045" customWidth="1"/>
    <col min="7677" max="7677" width="10.44140625" style="1045" customWidth="1"/>
    <col min="7678" max="7678" width="12.33203125" style="1045" customWidth="1"/>
    <col min="7679" max="7679" width="14.88671875" style="1045" customWidth="1"/>
    <col min="7680" max="7680" width="8.88671875" style="1045"/>
    <col min="7681" max="7681" width="14.33203125" style="1045" customWidth="1"/>
    <col min="7682" max="7682" width="8.88671875" style="1045"/>
    <col min="7683" max="7683" width="10.44140625" style="1045" customWidth="1"/>
    <col min="7684" max="7928" width="8.88671875" style="1045"/>
    <col min="7929" max="7929" width="3" style="1045" customWidth="1"/>
    <col min="7930" max="7930" width="4.33203125" style="1045" customWidth="1"/>
    <col min="7931" max="7931" width="39.44140625" style="1045" customWidth="1"/>
    <col min="7932" max="7932" width="8.88671875" style="1045" customWidth="1"/>
    <col min="7933" max="7933" width="10.44140625" style="1045" customWidth="1"/>
    <col min="7934" max="7934" width="12.33203125" style="1045" customWidth="1"/>
    <col min="7935" max="7935" width="14.88671875" style="1045" customWidth="1"/>
    <col min="7936" max="7936" width="8.88671875" style="1045"/>
    <col min="7937" max="7937" width="14.33203125" style="1045" customWidth="1"/>
    <col min="7938" max="7938" width="8.88671875" style="1045"/>
    <col min="7939" max="7939" width="10.44140625" style="1045" customWidth="1"/>
    <col min="7940" max="8184" width="8.88671875" style="1045"/>
    <col min="8185" max="8185" width="3" style="1045" customWidth="1"/>
    <col min="8186" max="8186" width="4.33203125" style="1045" customWidth="1"/>
    <col min="8187" max="8187" width="39.44140625" style="1045" customWidth="1"/>
    <col min="8188" max="8188" width="8.88671875" style="1045" customWidth="1"/>
    <col min="8189" max="8189" width="10.44140625" style="1045" customWidth="1"/>
    <col min="8190" max="8190" width="12.33203125" style="1045" customWidth="1"/>
    <col min="8191" max="8191" width="14.88671875" style="1045" customWidth="1"/>
    <col min="8192" max="8192" width="8.88671875" style="1045"/>
    <col min="8193" max="8193" width="14.33203125" style="1045" customWidth="1"/>
    <col min="8194" max="8194" width="8.88671875" style="1045"/>
    <col min="8195" max="8195" width="10.44140625" style="1045" customWidth="1"/>
    <col min="8196" max="8440" width="8.88671875" style="1045"/>
    <col min="8441" max="8441" width="3" style="1045" customWidth="1"/>
    <col min="8442" max="8442" width="4.33203125" style="1045" customWidth="1"/>
    <col min="8443" max="8443" width="39.44140625" style="1045" customWidth="1"/>
    <col min="8444" max="8444" width="8.88671875" style="1045" customWidth="1"/>
    <col min="8445" max="8445" width="10.44140625" style="1045" customWidth="1"/>
    <col min="8446" max="8446" width="12.33203125" style="1045" customWidth="1"/>
    <col min="8447" max="8447" width="14.88671875" style="1045" customWidth="1"/>
    <col min="8448" max="8448" width="8.88671875" style="1045"/>
    <col min="8449" max="8449" width="14.33203125" style="1045" customWidth="1"/>
    <col min="8450" max="8450" width="8.88671875" style="1045"/>
    <col min="8451" max="8451" width="10.44140625" style="1045" customWidth="1"/>
    <col min="8452" max="8696" width="8.88671875" style="1045"/>
    <col min="8697" max="8697" width="3" style="1045" customWidth="1"/>
    <col min="8698" max="8698" width="4.33203125" style="1045" customWidth="1"/>
    <col min="8699" max="8699" width="39.44140625" style="1045" customWidth="1"/>
    <col min="8700" max="8700" width="8.88671875" style="1045" customWidth="1"/>
    <col min="8701" max="8701" width="10.44140625" style="1045" customWidth="1"/>
    <col min="8702" max="8702" width="12.33203125" style="1045" customWidth="1"/>
    <col min="8703" max="8703" width="14.88671875" style="1045" customWidth="1"/>
    <col min="8704" max="8704" width="8.88671875" style="1045"/>
    <col min="8705" max="8705" width="14.33203125" style="1045" customWidth="1"/>
    <col min="8706" max="8706" width="8.88671875" style="1045"/>
    <col min="8707" max="8707" width="10.44140625" style="1045" customWidth="1"/>
    <col min="8708" max="8952" width="8.88671875" style="1045"/>
    <col min="8953" max="8953" width="3" style="1045" customWidth="1"/>
    <col min="8954" max="8954" width="4.33203125" style="1045" customWidth="1"/>
    <col min="8955" max="8955" width="39.44140625" style="1045" customWidth="1"/>
    <col min="8956" max="8956" width="8.88671875" style="1045" customWidth="1"/>
    <col min="8957" max="8957" width="10.44140625" style="1045" customWidth="1"/>
    <col min="8958" max="8958" width="12.33203125" style="1045" customWidth="1"/>
    <col min="8959" max="8959" width="14.88671875" style="1045" customWidth="1"/>
    <col min="8960" max="8960" width="8.88671875" style="1045"/>
    <col min="8961" max="8961" width="14.33203125" style="1045" customWidth="1"/>
    <col min="8962" max="8962" width="8.88671875" style="1045"/>
    <col min="8963" max="8963" width="10.44140625" style="1045" customWidth="1"/>
    <col min="8964" max="9208" width="8.88671875" style="1045"/>
    <col min="9209" max="9209" width="3" style="1045" customWidth="1"/>
    <col min="9210" max="9210" width="4.33203125" style="1045" customWidth="1"/>
    <col min="9211" max="9211" width="39.44140625" style="1045" customWidth="1"/>
    <col min="9212" max="9212" width="8.88671875" style="1045" customWidth="1"/>
    <col min="9213" max="9213" width="10.44140625" style="1045" customWidth="1"/>
    <col min="9214" max="9214" width="12.33203125" style="1045" customWidth="1"/>
    <col min="9215" max="9215" width="14.88671875" style="1045" customWidth="1"/>
    <col min="9216" max="9216" width="8.88671875" style="1045"/>
    <col min="9217" max="9217" width="14.33203125" style="1045" customWidth="1"/>
    <col min="9218" max="9218" width="8.88671875" style="1045"/>
    <col min="9219" max="9219" width="10.44140625" style="1045" customWidth="1"/>
    <col min="9220" max="9464" width="8.88671875" style="1045"/>
    <col min="9465" max="9465" width="3" style="1045" customWidth="1"/>
    <col min="9466" max="9466" width="4.33203125" style="1045" customWidth="1"/>
    <col min="9467" max="9467" width="39.44140625" style="1045" customWidth="1"/>
    <col min="9468" max="9468" width="8.88671875" style="1045" customWidth="1"/>
    <col min="9469" max="9469" width="10.44140625" style="1045" customWidth="1"/>
    <col min="9470" max="9470" width="12.33203125" style="1045" customWidth="1"/>
    <col min="9471" max="9471" width="14.88671875" style="1045" customWidth="1"/>
    <col min="9472" max="9472" width="8.88671875" style="1045"/>
    <col min="9473" max="9473" width="14.33203125" style="1045" customWidth="1"/>
    <col min="9474" max="9474" width="8.88671875" style="1045"/>
    <col min="9475" max="9475" width="10.44140625" style="1045" customWidth="1"/>
    <col min="9476" max="9720" width="8.88671875" style="1045"/>
    <col min="9721" max="9721" width="3" style="1045" customWidth="1"/>
    <col min="9722" max="9722" width="4.33203125" style="1045" customWidth="1"/>
    <col min="9723" max="9723" width="39.44140625" style="1045" customWidth="1"/>
    <col min="9724" max="9724" width="8.88671875" style="1045" customWidth="1"/>
    <col min="9725" max="9725" width="10.44140625" style="1045" customWidth="1"/>
    <col min="9726" max="9726" width="12.33203125" style="1045" customWidth="1"/>
    <col min="9727" max="9727" width="14.88671875" style="1045" customWidth="1"/>
    <col min="9728" max="9728" width="8.88671875" style="1045"/>
    <col min="9729" max="9729" width="14.33203125" style="1045" customWidth="1"/>
    <col min="9730" max="9730" width="8.88671875" style="1045"/>
    <col min="9731" max="9731" width="10.44140625" style="1045" customWidth="1"/>
    <col min="9732" max="9976" width="8.88671875" style="1045"/>
    <col min="9977" max="9977" width="3" style="1045" customWidth="1"/>
    <col min="9978" max="9978" width="4.33203125" style="1045" customWidth="1"/>
    <col min="9979" max="9979" width="39.44140625" style="1045" customWidth="1"/>
    <col min="9980" max="9980" width="8.88671875" style="1045" customWidth="1"/>
    <col min="9981" max="9981" width="10.44140625" style="1045" customWidth="1"/>
    <col min="9982" max="9982" width="12.33203125" style="1045" customWidth="1"/>
    <col min="9983" max="9983" width="14.88671875" style="1045" customWidth="1"/>
    <col min="9984" max="9984" width="8.88671875" style="1045"/>
    <col min="9985" max="9985" width="14.33203125" style="1045" customWidth="1"/>
    <col min="9986" max="9986" width="8.88671875" style="1045"/>
    <col min="9987" max="9987" width="10.44140625" style="1045" customWidth="1"/>
    <col min="9988" max="10232" width="8.88671875" style="1045"/>
    <col min="10233" max="10233" width="3" style="1045" customWidth="1"/>
    <col min="10234" max="10234" width="4.33203125" style="1045" customWidth="1"/>
    <col min="10235" max="10235" width="39.44140625" style="1045" customWidth="1"/>
    <col min="10236" max="10236" width="8.88671875" style="1045" customWidth="1"/>
    <col min="10237" max="10237" width="10.44140625" style="1045" customWidth="1"/>
    <col min="10238" max="10238" width="12.33203125" style="1045" customWidth="1"/>
    <col min="10239" max="10239" width="14.88671875" style="1045" customWidth="1"/>
    <col min="10240" max="10240" width="8.88671875" style="1045"/>
    <col min="10241" max="10241" width="14.33203125" style="1045" customWidth="1"/>
    <col min="10242" max="10242" width="8.88671875" style="1045"/>
    <col min="10243" max="10243" width="10.44140625" style="1045" customWidth="1"/>
    <col min="10244" max="10488" width="8.88671875" style="1045"/>
    <col min="10489" max="10489" width="3" style="1045" customWidth="1"/>
    <col min="10490" max="10490" width="4.33203125" style="1045" customWidth="1"/>
    <col min="10491" max="10491" width="39.44140625" style="1045" customWidth="1"/>
    <col min="10492" max="10492" width="8.88671875" style="1045" customWidth="1"/>
    <col min="10493" max="10493" width="10.44140625" style="1045" customWidth="1"/>
    <col min="10494" max="10494" width="12.33203125" style="1045" customWidth="1"/>
    <col min="10495" max="10495" width="14.88671875" style="1045" customWidth="1"/>
    <col min="10496" max="10496" width="8.88671875" style="1045"/>
    <col min="10497" max="10497" width="14.33203125" style="1045" customWidth="1"/>
    <col min="10498" max="10498" width="8.88671875" style="1045"/>
    <col min="10499" max="10499" width="10.44140625" style="1045" customWidth="1"/>
    <col min="10500" max="10744" width="8.88671875" style="1045"/>
    <col min="10745" max="10745" width="3" style="1045" customWidth="1"/>
    <col min="10746" max="10746" width="4.33203125" style="1045" customWidth="1"/>
    <col min="10747" max="10747" width="39.44140625" style="1045" customWidth="1"/>
    <col min="10748" max="10748" width="8.88671875" style="1045" customWidth="1"/>
    <col min="10749" max="10749" width="10.44140625" style="1045" customWidth="1"/>
    <col min="10750" max="10750" width="12.33203125" style="1045" customWidth="1"/>
    <col min="10751" max="10751" width="14.88671875" style="1045" customWidth="1"/>
    <col min="10752" max="10752" width="8.88671875" style="1045"/>
    <col min="10753" max="10753" width="14.33203125" style="1045" customWidth="1"/>
    <col min="10754" max="10754" width="8.88671875" style="1045"/>
    <col min="10755" max="10755" width="10.44140625" style="1045" customWidth="1"/>
    <col min="10756" max="11000" width="8.88671875" style="1045"/>
    <col min="11001" max="11001" width="3" style="1045" customWidth="1"/>
    <col min="11002" max="11002" width="4.33203125" style="1045" customWidth="1"/>
    <col min="11003" max="11003" width="39.44140625" style="1045" customWidth="1"/>
    <col min="11004" max="11004" width="8.88671875" style="1045" customWidth="1"/>
    <col min="11005" max="11005" width="10.44140625" style="1045" customWidth="1"/>
    <col min="11006" max="11006" width="12.33203125" style="1045" customWidth="1"/>
    <col min="11007" max="11007" width="14.88671875" style="1045" customWidth="1"/>
    <col min="11008" max="11008" width="8.88671875" style="1045"/>
    <col min="11009" max="11009" width="14.33203125" style="1045" customWidth="1"/>
    <col min="11010" max="11010" width="8.88671875" style="1045"/>
    <col min="11011" max="11011" width="10.44140625" style="1045" customWidth="1"/>
    <col min="11012" max="11256" width="8.88671875" style="1045"/>
    <col min="11257" max="11257" width="3" style="1045" customWidth="1"/>
    <col min="11258" max="11258" width="4.33203125" style="1045" customWidth="1"/>
    <col min="11259" max="11259" width="39.44140625" style="1045" customWidth="1"/>
    <col min="11260" max="11260" width="8.88671875" style="1045" customWidth="1"/>
    <col min="11261" max="11261" width="10.44140625" style="1045" customWidth="1"/>
    <col min="11262" max="11262" width="12.33203125" style="1045" customWidth="1"/>
    <col min="11263" max="11263" width="14.88671875" style="1045" customWidth="1"/>
    <col min="11264" max="11264" width="8.88671875" style="1045"/>
    <col min="11265" max="11265" width="14.33203125" style="1045" customWidth="1"/>
    <col min="11266" max="11266" width="8.88671875" style="1045"/>
    <col min="11267" max="11267" width="10.44140625" style="1045" customWidth="1"/>
    <col min="11268" max="11512" width="8.88671875" style="1045"/>
    <col min="11513" max="11513" width="3" style="1045" customWidth="1"/>
    <col min="11514" max="11514" width="4.33203125" style="1045" customWidth="1"/>
    <col min="11515" max="11515" width="39.44140625" style="1045" customWidth="1"/>
    <col min="11516" max="11516" width="8.88671875" style="1045" customWidth="1"/>
    <col min="11517" max="11517" width="10.44140625" style="1045" customWidth="1"/>
    <col min="11518" max="11518" width="12.33203125" style="1045" customWidth="1"/>
    <col min="11519" max="11519" width="14.88671875" style="1045" customWidth="1"/>
    <col min="11520" max="11520" width="8.88671875" style="1045"/>
    <col min="11521" max="11521" width="14.33203125" style="1045" customWidth="1"/>
    <col min="11522" max="11522" width="8.88671875" style="1045"/>
    <col min="11523" max="11523" width="10.44140625" style="1045" customWidth="1"/>
    <col min="11524" max="11768" width="8.88671875" style="1045"/>
    <col min="11769" max="11769" width="3" style="1045" customWidth="1"/>
    <col min="11770" max="11770" width="4.33203125" style="1045" customWidth="1"/>
    <col min="11771" max="11771" width="39.44140625" style="1045" customWidth="1"/>
    <col min="11772" max="11772" width="8.88671875" style="1045" customWidth="1"/>
    <col min="11773" max="11773" width="10.44140625" style="1045" customWidth="1"/>
    <col min="11774" max="11774" width="12.33203125" style="1045" customWidth="1"/>
    <col min="11775" max="11775" width="14.88671875" style="1045" customWidth="1"/>
    <col min="11776" max="11776" width="8.88671875" style="1045"/>
    <col min="11777" max="11777" width="14.33203125" style="1045" customWidth="1"/>
    <col min="11778" max="11778" width="8.88671875" style="1045"/>
    <col min="11779" max="11779" width="10.44140625" style="1045" customWidth="1"/>
    <col min="11780" max="12024" width="8.88671875" style="1045"/>
    <col min="12025" max="12025" width="3" style="1045" customWidth="1"/>
    <col min="12026" max="12026" width="4.33203125" style="1045" customWidth="1"/>
    <col min="12027" max="12027" width="39.44140625" style="1045" customWidth="1"/>
    <col min="12028" max="12028" width="8.88671875" style="1045" customWidth="1"/>
    <col min="12029" max="12029" width="10.44140625" style="1045" customWidth="1"/>
    <col min="12030" max="12030" width="12.33203125" style="1045" customWidth="1"/>
    <col min="12031" max="12031" width="14.88671875" style="1045" customWidth="1"/>
    <col min="12032" max="12032" width="8.88671875" style="1045"/>
    <col min="12033" max="12033" width="14.33203125" style="1045" customWidth="1"/>
    <col min="12034" max="12034" width="8.88671875" style="1045"/>
    <col min="12035" max="12035" width="10.44140625" style="1045" customWidth="1"/>
    <col min="12036" max="12280" width="8.88671875" style="1045"/>
    <col min="12281" max="12281" width="3" style="1045" customWidth="1"/>
    <col min="12282" max="12282" width="4.33203125" style="1045" customWidth="1"/>
    <col min="12283" max="12283" width="39.44140625" style="1045" customWidth="1"/>
    <col min="12284" max="12284" width="8.88671875" style="1045" customWidth="1"/>
    <col min="12285" max="12285" width="10.44140625" style="1045" customWidth="1"/>
    <col min="12286" max="12286" width="12.33203125" style="1045" customWidth="1"/>
    <col min="12287" max="12287" width="14.88671875" style="1045" customWidth="1"/>
    <col min="12288" max="12288" width="8.88671875" style="1045"/>
    <col min="12289" max="12289" width="14.33203125" style="1045" customWidth="1"/>
    <col min="12290" max="12290" width="8.88671875" style="1045"/>
    <col min="12291" max="12291" width="10.44140625" style="1045" customWidth="1"/>
    <col min="12292" max="12536" width="8.88671875" style="1045"/>
    <col min="12537" max="12537" width="3" style="1045" customWidth="1"/>
    <col min="12538" max="12538" width="4.33203125" style="1045" customWidth="1"/>
    <col min="12539" max="12539" width="39.44140625" style="1045" customWidth="1"/>
    <col min="12540" max="12540" width="8.88671875" style="1045" customWidth="1"/>
    <col min="12541" max="12541" width="10.44140625" style="1045" customWidth="1"/>
    <col min="12542" max="12542" width="12.33203125" style="1045" customWidth="1"/>
    <col min="12543" max="12543" width="14.88671875" style="1045" customWidth="1"/>
    <col min="12544" max="12544" width="8.88671875" style="1045"/>
    <col min="12545" max="12545" width="14.33203125" style="1045" customWidth="1"/>
    <col min="12546" max="12546" width="8.88671875" style="1045"/>
    <col min="12547" max="12547" width="10.44140625" style="1045" customWidth="1"/>
    <col min="12548" max="12792" width="8.88671875" style="1045"/>
    <col min="12793" max="12793" width="3" style="1045" customWidth="1"/>
    <col min="12794" max="12794" width="4.33203125" style="1045" customWidth="1"/>
    <col min="12795" max="12795" width="39.44140625" style="1045" customWidth="1"/>
    <col min="12796" max="12796" width="8.88671875" style="1045" customWidth="1"/>
    <col min="12797" max="12797" width="10.44140625" style="1045" customWidth="1"/>
    <col min="12798" max="12798" width="12.33203125" style="1045" customWidth="1"/>
    <col min="12799" max="12799" width="14.88671875" style="1045" customWidth="1"/>
    <col min="12800" max="12800" width="8.88671875" style="1045"/>
    <col min="12801" max="12801" width="14.33203125" style="1045" customWidth="1"/>
    <col min="12802" max="12802" width="8.88671875" style="1045"/>
    <col min="12803" max="12803" width="10.44140625" style="1045" customWidth="1"/>
    <col min="12804" max="13048" width="8.88671875" style="1045"/>
    <col min="13049" max="13049" width="3" style="1045" customWidth="1"/>
    <col min="13050" max="13050" width="4.33203125" style="1045" customWidth="1"/>
    <col min="13051" max="13051" width="39.44140625" style="1045" customWidth="1"/>
    <col min="13052" max="13052" width="8.88671875" style="1045" customWidth="1"/>
    <col min="13053" max="13053" width="10.44140625" style="1045" customWidth="1"/>
    <col min="13054" max="13054" width="12.33203125" style="1045" customWidth="1"/>
    <col min="13055" max="13055" width="14.88671875" style="1045" customWidth="1"/>
    <col min="13056" max="13056" width="8.88671875" style="1045"/>
    <col min="13057" max="13057" width="14.33203125" style="1045" customWidth="1"/>
    <col min="13058" max="13058" width="8.88671875" style="1045"/>
    <col min="13059" max="13059" width="10.44140625" style="1045" customWidth="1"/>
    <col min="13060" max="13304" width="8.88671875" style="1045"/>
    <col min="13305" max="13305" width="3" style="1045" customWidth="1"/>
    <col min="13306" max="13306" width="4.33203125" style="1045" customWidth="1"/>
    <col min="13307" max="13307" width="39.44140625" style="1045" customWidth="1"/>
    <col min="13308" max="13308" width="8.88671875" style="1045" customWidth="1"/>
    <col min="13309" max="13309" width="10.44140625" style="1045" customWidth="1"/>
    <col min="13310" max="13310" width="12.33203125" style="1045" customWidth="1"/>
    <col min="13311" max="13311" width="14.88671875" style="1045" customWidth="1"/>
    <col min="13312" max="13312" width="8.88671875" style="1045"/>
    <col min="13313" max="13313" width="14.33203125" style="1045" customWidth="1"/>
    <col min="13314" max="13314" width="8.88671875" style="1045"/>
    <col min="13315" max="13315" width="10.44140625" style="1045" customWidth="1"/>
    <col min="13316" max="13560" width="8.88671875" style="1045"/>
    <col min="13561" max="13561" width="3" style="1045" customWidth="1"/>
    <col min="13562" max="13562" width="4.33203125" style="1045" customWidth="1"/>
    <col min="13563" max="13563" width="39.44140625" style="1045" customWidth="1"/>
    <col min="13564" max="13564" width="8.88671875" style="1045" customWidth="1"/>
    <col min="13565" max="13565" width="10.44140625" style="1045" customWidth="1"/>
    <col min="13566" max="13566" width="12.33203125" style="1045" customWidth="1"/>
    <col min="13567" max="13567" width="14.88671875" style="1045" customWidth="1"/>
    <col min="13568" max="13568" width="8.88671875" style="1045"/>
    <col min="13569" max="13569" width="14.33203125" style="1045" customWidth="1"/>
    <col min="13570" max="13570" width="8.88671875" style="1045"/>
    <col min="13571" max="13571" width="10.44140625" style="1045" customWidth="1"/>
    <col min="13572" max="13816" width="8.88671875" style="1045"/>
    <col min="13817" max="13817" width="3" style="1045" customWidth="1"/>
    <col min="13818" max="13818" width="4.33203125" style="1045" customWidth="1"/>
    <col min="13819" max="13819" width="39.44140625" style="1045" customWidth="1"/>
    <col min="13820" max="13820" width="8.88671875" style="1045" customWidth="1"/>
    <col min="13821" max="13821" width="10.44140625" style="1045" customWidth="1"/>
    <col min="13822" max="13822" width="12.33203125" style="1045" customWidth="1"/>
    <col min="13823" max="13823" width="14.88671875" style="1045" customWidth="1"/>
    <col min="13824" max="13824" width="8.88671875" style="1045"/>
    <col min="13825" max="13825" width="14.33203125" style="1045" customWidth="1"/>
    <col min="13826" max="13826" width="8.88671875" style="1045"/>
    <col min="13827" max="13827" width="10.44140625" style="1045" customWidth="1"/>
    <col min="13828" max="14072" width="8.88671875" style="1045"/>
    <col min="14073" max="14073" width="3" style="1045" customWidth="1"/>
    <col min="14074" max="14074" width="4.33203125" style="1045" customWidth="1"/>
    <col min="14075" max="14075" width="39.44140625" style="1045" customWidth="1"/>
    <col min="14076" max="14076" width="8.88671875" style="1045" customWidth="1"/>
    <col min="14077" max="14077" width="10.44140625" style="1045" customWidth="1"/>
    <col min="14078" max="14078" width="12.33203125" style="1045" customWidth="1"/>
    <col min="14079" max="14079" width="14.88671875" style="1045" customWidth="1"/>
    <col min="14080" max="14080" width="8.88671875" style="1045"/>
    <col min="14081" max="14081" width="14.33203125" style="1045" customWidth="1"/>
    <col min="14082" max="14082" width="8.88671875" style="1045"/>
    <col min="14083" max="14083" width="10.44140625" style="1045" customWidth="1"/>
    <col min="14084" max="14328" width="8.88671875" style="1045"/>
    <col min="14329" max="14329" width="3" style="1045" customWidth="1"/>
    <col min="14330" max="14330" width="4.33203125" style="1045" customWidth="1"/>
    <col min="14331" max="14331" width="39.44140625" style="1045" customWidth="1"/>
    <col min="14332" max="14332" width="8.88671875" style="1045" customWidth="1"/>
    <col min="14333" max="14333" width="10.44140625" style="1045" customWidth="1"/>
    <col min="14334" max="14334" width="12.33203125" style="1045" customWidth="1"/>
    <col min="14335" max="14335" width="14.88671875" style="1045" customWidth="1"/>
    <col min="14336" max="14336" width="8.88671875" style="1045"/>
    <col min="14337" max="14337" width="14.33203125" style="1045" customWidth="1"/>
    <col min="14338" max="14338" width="8.88671875" style="1045"/>
    <col min="14339" max="14339" width="10.44140625" style="1045" customWidth="1"/>
    <col min="14340" max="14584" width="8.88671875" style="1045"/>
    <col min="14585" max="14585" width="3" style="1045" customWidth="1"/>
    <col min="14586" max="14586" width="4.33203125" style="1045" customWidth="1"/>
    <col min="14587" max="14587" width="39.44140625" style="1045" customWidth="1"/>
    <col min="14588" max="14588" width="8.88671875" style="1045" customWidth="1"/>
    <col min="14589" max="14589" width="10.44140625" style="1045" customWidth="1"/>
    <col min="14590" max="14590" width="12.33203125" style="1045" customWidth="1"/>
    <col min="14591" max="14591" width="14.88671875" style="1045" customWidth="1"/>
    <col min="14592" max="14592" width="8.88671875" style="1045"/>
    <col min="14593" max="14593" width="14.33203125" style="1045" customWidth="1"/>
    <col min="14594" max="14594" width="8.88671875" style="1045"/>
    <col min="14595" max="14595" width="10.44140625" style="1045" customWidth="1"/>
    <col min="14596" max="14840" width="8.88671875" style="1045"/>
    <col min="14841" max="14841" width="3" style="1045" customWidth="1"/>
    <col min="14842" max="14842" width="4.33203125" style="1045" customWidth="1"/>
    <col min="14843" max="14843" width="39.44140625" style="1045" customWidth="1"/>
    <col min="14844" max="14844" width="8.88671875" style="1045" customWidth="1"/>
    <col min="14845" max="14845" width="10.44140625" style="1045" customWidth="1"/>
    <col min="14846" max="14846" width="12.33203125" style="1045" customWidth="1"/>
    <col min="14847" max="14847" width="14.88671875" style="1045" customWidth="1"/>
    <col min="14848" max="14848" width="8.88671875" style="1045"/>
    <col min="14849" max="14849" width="14.33203125" style="1045" customWidth="1"/>
    <col min="14850" max="14850" width="8.88671875" style="1045"/>
    <col min="14851" max="14851" width="10.44140625" style="1045" customWidth="1"/>
    <col min="14852" max="15096" width="8.88671875" style="1045"/>
    <col min="15097" max="15097" width="3" style="1045" customWidth="1"/>
    <col min="15098" max="15098" width="4.33203125" style="1045" customWidth="1"/>
    <col min="15099" max="15099" width="39.44140625" style="1045" customWidth="1"/>
    <col min="15100" max="15100" width="8.88671875" style="1045" customWidth="1"/>
    <col min="15101" max="15101" width="10.44140625" style="1045" customWidth="1"/>
    <col min="15102" max="15102" width="12.33203125" style="1045" customWidth="1"/>
    <col min="15103" max="15103" width="14.88671875" style="1045" customWidth="1"/>
    <col min="15104" max="15104" width="8.88671875" style="1045"/>
    <col min="15105" max="15105" width="14.33203125" style="1045" customWidth="1"/>
    <col min="15106" max="15106" width="8.88671875" style="1045"/>
    <col min="15107" max="15107" width="10.44140625" style="1045" customWidth="1"/>
    <col min="15108" max="15352" width="8.88671875" style="1045"/>
    <col min="15353" max="15353" width="3" style="1045" customWidth="1"/>
    <col min="15354" max="15354" width="4.33203125" style="1045" customWidth="1"/>
    <col min="15355" max="15355" width="39.44140625" style="1045" customWidth="1"/>
    <col min="15356" max="15356" width="8.88671875" style="1045" customWidth="1"/>
    <col min="15357" max="15357" width="10.44140625" style="1045" customWidth="1"/>
    <col min="15358" max="15358" width="12.33203125" style="1045" customWidth="1"/>
    <col min="15359" max="15359" width="14.88671875" style="1045" customWidth="1"/>
    <col min="15360" max="15360" width="8.88671875" style="1045"/>
    <col min="15361" max="15361" width="14.33203125" style="1045" customWidth="1"/>
    <col min="15362" max="15362" width="8.88671875" style="1045"/>
    <col min="15363" max="15363" width="10.44140625" style="1045" customWidth="1"/>
    <col min="15364" max="15608" width="8.88671875" style="1045"/>
    <col min="15609" max="15609" width="3" style="1045" customWidth="1"/>
    <col min="15610" max="15610" width="4.33203125" style="1045" customWidth="1"/>
    <col min="15611" max="15611" width="39.44140625" style="1045" customWidth="1"/>
    <col min="15612" max="15612" width="8.88671875" style="1045" customWidth="1"/>
    <col min="15613" max="15613" width="10.44140625" style="1045" customWidth="1"/>
    <col min="15614" max="15614" width="12.33203125" style="1045" customWidth="1"/>
    <col min="15615" max="15615" width="14.88671875" style="1045" customWidth="1"/>
    <col min="15616" max="15616" width="8.88671875" style="1045"/>
    <col min="15617" max="15617" width="14.33203125" style="1045" customWidth="1"/>
    <col min="15618" max="15618" width="8.88671875" style="1045"/>
    <col min="15619" max="15619" width="10.44140625" style="1045" customWidth="1"/>
    <col min="15620" max="15864" width="8.88671875" style="1045"/>
    <col min="15865" max="15865" width="3" style="1045" customWidth="1"/>
    <col min="15866" max="15866" width="4.33203125" style="1045" customWidth="1"/>
    <col min="15867" max="15867" width="39.44140625" style="1045" customWidth="1"/>
    <col min="15868" max="15868" width="8.88671875" style="1045" customWidth="1"/>
    <col min="15869" max="15869" width="10.44140625" style="1045" customWidth="1"/>
    <col min="15870" max="15870" width="12.33203125" style="1045" customWidth="1"/>
    <col min="15871" max="15871" width="14.88671875" style="1045" customWidth="1"/>
    <col min="15872" max="15872" width="8.88671875" style="1045"/>
    <col min="15873" max="15873" width="14.33203125" style="1045" customWidth="1"/>
    <col min="15874" max="15874" width="8.88671875" style="1045"/>
    <col min="15875" max="15875" width="10.44140625" style="1045" customWidth="1"/>
    <col min="15876" max="16120" width="8.88671875" style="1045"/>
    <col min="16121" max="16121" width="3" style="1045" customWidth="1"/>
    <col min="16122" max="16122" width="4.33203125" style="1045" customWidth="1"/>
    <col min="16123" max="16123" width="39.44140625" style="1045" customWidth="1"/>
    <col min="16124" max="16124" width="8.88671875" style="1045" customWidth="1"/>
    <col min="16125" max="16125" width="10.44140625" style="1045" customWidth="1"/>
    <col min="16126" max="16126" width="12.33203125" style="1045" customWidth="1"/>
    <col min="16127" max="16127" width="14.88671875" style="1045" customWidth="1"/>
    <col min="16128" max="16128" width="8.88671875" style="1045"/>
    <col min="16129" max="16129" width="14.33203125" style="1045" customWidth="1"/>
    <col min="16130" max="16130" width="8.88671875" style="1045"/>
    <col min="16131" max="16131" width="10.44140625" style="1045" customWidth="1"/>
    <col min="16132" max="16384" width="8.88671875" style="1045"/>
  </cols>
  <sheetData>
    <row r="1" spans="1:8" s="1191" customFormat="1" x14ac:dyDescent="0.25">
      <c r="A1" s="1556" t="s">
        <v>1823</v>
      </c>
      <c r="B1" s="1557"/>
      <c r="C1" s="1505"/>
      <c r="D1" s="1506"/>
      <c r="E1" s="1558"/>
      <c r="F1" s="1559"/>
    </row>
    <row r="2" spans="1:8" s="1191" customFormat="1" x14ac:dyDescent="0.25">
      <c r="A2" s="1509" t="s">
        <v>1723</v>
      </c>
      <c r="B2" s="1560"/>
      <c r="C2" s="1510"/>
      <c r="D2" s="1561"/>
      <c r="E2" s="1561"/>
      <c r="F2" s="1562"/>
    </row>
    <row r="3" spans="1:8" s="1191" customFormat="1" x14ac:dyDescent="0.25">
      <c r="A3" s="2789" t="s">
        <v>1824</v>
      </c>
      <c r="B3" s="2790"/>
      <c r="C3" s="1510"/>
      <c r="D3" s="1561"/>
      <c r="E3" s="1561"/>
      <c r="F3" s="1562"/>
    </row>
    <row r="4" spans="1:8" s="1122" customFormat="1" x14ac:dyDescent="0.25">
      <c r="A4" s="1563"/>
      <c r="B4" s="1286"/>
      <c r="C4" s="56"/>
      <c r="D4" s="1272"/>
      <c r="E4" s="1238"/>
      <c r="F4" s="1221"/>
      <c r="G4" s="1287"/>
      <c r="H4" s="1235"/>
    </row>
    <row r="5" spans="1:8" s="966" customFormat="1" x14ac:dyDescent="0.25">
      <c r="A5" s="962" t="s">
        <v>683</v>
      </c>
      <c r="B5" s="962" t="s">
        <v>684</v>
      </c>
      <c r="C5" s="1288" t="s">
        <v>689</v>
      </c>
      <c r="D5" s="962" t="s">
        <v>691</v>
      </c>
      <c r="E5" s="1289" t="s">
        <v>955</v>
      </c>
      <c r="F5" s="964" t="s">
        <v>1772</v>
      </c>
      <c r="G5" s="965"/>
      <c r="H5" s="985"/>
    </row>
    <row r="6" spans="1:8" s="966" customFormat="1" x14ac:dyDescent="0.25">
      <c r="A6" s="970"/>
      <c r="B6" s="970"/>
      <c r="C6" s="1290"/>
      <c r="D6" s="970"/>
      <c r="E6" s="1291"/>
      <c r="F6" s="972"/>
      <c r="G6" s="965"/>
      <c r="H6" s="985"/>
    </row>
    <row r="7" spans="1:8" s="966" customFormat="1" x14ac:dyDescent="0.25">
      <c r="A7" s="970"/>
      <c r="B7" s="1204" t="s">
        <v>1825</v>
      </c>
      <c r="C7" s="1290"/>
      <c r="D7" s="970"/>
      <c r="E7" s="1291"/>
      <c r="F7" s="972"/>
      <c r="G7" s="965"/>
      <c r="H7" s="985"/>
    </row>
    <row r="8" spans="1:8" s="966" customFormat="1" x14ac:dyDescent="0.25">
      <c r="A8" s="970"/>
      <c r="B8" s="970"/>
      <c r="C8" s="1290"/>
      <c r="D8" s="970"/>
      <c r="E8" s="1291"/>
      <c r="F8" s="972"/>
      <c r="G8" s="965"/>
      <c r="H8" s="985"/>
    </row>
    <row r="9" spans="1:8" s="966" customFormat="1" x14ac:dyDescent="0.25">
      <c r="A9" s="970"/>
      <c r="B9" s="1292" t="s">
        <v>1826</v>
      </c>
      <c r="C9" s="1290"/>
      <c r="D9" s="970"/>
      <c r="E9" s="1291"/>
      <c r="F9" s="972"/>
      <c r="G9" s="965"/>
      <c r="H9" s="985"/>
    </row>
    <row r="10" spans="1:8" s="966" customFormat="1" x14ac:dyDescent="0.25">
      <c r="A10" s="970"/>
      <c r="B10" s="1293"/>
      <c r="C10" s="1290"/>
      <c r="D10" s="970"/>
      <c r="E10" s="1291"/>
      <c r="F10" s="972"/>
      <c r="G10" s="965"/>
      <c r="H10" s="985"/>
    </row>
    <row r="11" spans="1:8" s="966" customFormat="1" ht="27.6" x14ac:dyDescent="0.25">
      <c r="A11" s="970"/>
      <c r="B11" s="1294" t="s">
        <v>1508</v>
      </c>
      <c r="C11" s="1290"/>
      <c r="D11" s="1125" t="s">
        <v>1362</v>
      </c>
      <c r="E11" s="1291"/>
      <c r="F11" s="972"/>
      <c r="G11" s="965"/>
      <c r="H11" s="985"/>
    </row>
    <row r="12" spans="1:8" s="966" customFormat="1" x14ac:dyDescent="0.25">
      <c r="A12" s="970"/>
      <c r="B12" s="1294"/>
      <c r="C12" s="1290"/>
      <c r="D12" s="970"/>
      <c r="E12" s="1291"/>
      <c r="F12" s="972"/>
      <c r="G12" s="965"/>
      <c r="H12" s="985"/>
    </row>
    <row r="13" spans="1:8" s="966" customFormat="1" ht="27.6" x14ac:dyDescent="0.25">
      <c r="A13" s="970"/>
      <c r="B13" s="1294" t="s">
        <v>1509</v>
      </c>
      <c r="C13" s="1290"/>
      <c r="D13" s="1125" t="s">
        <v>1362</v>
      </c>
      <c r="E13" s="1291"/>
      <c r="F13" s="972"/>
      <c r="G13" s="965"/>
      <c r="H13" s="985"/>
    </row>
    <row r="14" spans="1:8" s="966" customFormat="1" x14ac:dyDescent="0.25">
      <c r="A14" s="970"/>
      <c r="B14" s="1294"/>
      <c r="C14" s="1290"/>
      <c r="D14" s="970"/>
      <c r="E14" s="1291"/>
      <c r="F14" s="972"/>
      <c r="G14" s="965"/>
      <c r="H14" s="985"/>
    </row>
    <row r="15" spans="1:8" s="966" customFormat="1" ht="41.4" x14ac:dyDescent="0.25">
      <c r="A15" s="970"/>
      <c r="B15" s="1294" t="s">
        <v>1827</v>
      </c>
      <c r="C15" s="1290"/>
      <c r="D15" s="1125" t="s">
        <v>1362</v>
      </c>
      <c r="E15" s="1291"/>
      <c r="F15" s="972"/>
      <c r="G15" s="965"/>
      <c r="H15" s="985"/>
    </row>
    <row r="16" spans="1:8" s="966" customFormat="1" x14ac:dyDescent="0.25">
      <c r="A16" s="970"/>
      <c r="B16" s="1294"/>
      <c r="C16" s="1290"/>
      <c r="D16" s="970"/>
      <c r="E16" s="1291"/>
      <c r="F16" s="972"/>
      <c r="G16" s="965"/>
      <c r="H16" s="985"/>
    </row>
    <row r="17" spans="1:8" s="966" customFormat="1" ht="27.6" x14ac:dyDescent="0.25">
      <c r="A17" s="970"/>
      <c r="B17" s="1294" t="s">
        <v>1779</v>
      </c>
      <c r="C17" s="1290"/>
      <c r="D17" s="1125" t="s">
        <v>1362</v>
      </c>
      <c r="E17" s="1291"/>
      <c r="F17" s="972"/>
      <c r="G17" s="965"/>
      <c r="H17" s="985"/>
    </row>
    <row r="18" spans="1:8" s="966" customFormat="1" x14ac:dyDescent="0.25">
      <c r="A18" s="970"/>
      <c r="B18" s="1294"/>
      <c r="C18" s="1290"/>
      <c r="D18" s="970"/>
      <c r="E18" s="1291"/>
      <c r="F18" s="972"/>
      <c r="G18" s="965"/>
      <c r="H18" s="985"/>
    </row>
    <row r="19" spans="1:8" s="966" customFormat="1" ht="41.4" x14ac:dyDescent="0.25">
      <c r="A19" s="970"/>
      <c r="B19" s="1294" t="s">
        <v>1780</v>
      </c>
      <c r="C19" s="1290"/>
      <c r="D19" s="1125" t="s">
        <v>1362</v>
      </c>
      <c r="E19" s="1291"/>
      <c r="F19" s="972"/>
      <c r="G19" s="965"/>
      <c r="H19" s="985"/>
    </row>
    <row r="20" spans="1:8" s="966" customFormat="1" x14ac:dyDescent="0.25">
      <c r="A20" s="970"/>
      <c r="B20" s="1294"/>
      <c r="C20" s="1290"/>
      <c r="D20" s="970"/>
      <c r="E20" s="1291"/>
      <c r="F20" s="972"/>
      <c r="G20" s="965"/>
      <c r="H20" s="985"/>
    </row>
    <row r="21" spans="1:8" s="966" customFormat="1" ht="41.4" x14ac:dyDescent="0.25">
      <c r="A21" s="970"/>
      <c r="B21" s="1294" t="s">
        <v>1828</v>
      </c>
      <c r="C21" s="1290"/>
      <c r="D21" s="1125" t="s">
        <v>1362</v>
      </c>
      <c r="E21" s="1291"/>
      <c r="F21" s="972"/>
      <c r="G21" s="965"/>
      <c r="H21" s="985"/>
    </row>
    <row r="22" spans="1:8" s="966" customFormat="1" x14ac:dyDescent="0.25">
      <c r="A22" s="970"/>
      <c r="B22" s="1294"/>
      <c r="C22" s="1290"/>
      <c r="D22" s="970"/>
      <c r="E22" s="1291"/>
      <c r="F22" s="972"/>
      <c r="G22" s="965"/>
      <c r="H22" s="985"/>
    </row>
    <row r="23" spans="1:8" s="966" customFormat="1" ht="41.4" x14ac:dyDescent="0.25">
      <c r="A23" s="970"/>
      <c r="B23" s="1294" t="s">
        <v>1514</v>
      </c>
      <c r="C23" s="1290"/>
      <c r="D23" s="1125" t="s">
        <v>1362</v>
      </c>
      <c r="E23" s="1291"/>
      <c r="F23" s="972"/>
      <c r="G23" s="965"/>
      <c r="H23" s="985"/>
    </row>
    <row r="24" spans="1:8" s="966" customFormat="1" x14ac:dyDescent="0.25">
      <c r="A24" s="970"/>
      <c r="B24" s="1294"/>
      <c r="C24" s="1290"/>
      <c r="D24" s="970"/>
      <c r="E24" s="1291"/>
      <c r="F24" s="972"/>
      <c r="G24" s="965"/>
      <c r="H24" s="985"/>
    </row>
    <row r="25" spans="1:8" s="966" customFormat="1" ht="41.4" x14ac:dyDescent="0.25">
      <c r="A25" s="970"/>
      <c r="B25" s="1295" t="s">
        <v>1829</v>
      </c>
      <c r="C25" s="1290"/>
      <c r="D25" s="1125" t="s">
        <v>1362</v>
      </c>
      <c r="E25" s="1291"/>
      <c r="F25" s="972"/>
      <c r="G25" s="965"/>
      <c r="H25" s="985"/>
    </row>
    <row r="26" spans="1:8" s="966" customFormat="1" x14ac:dyDescent="0.25">
      <c r="A26" s="970"/>
      <c r="B26" s="1296"/>
      <c r="C26" s="1290"/>
      <c r="D26" s="970"/>
      <c r="E26" s="1291"/>
      <c r="F26" s="972"/>
      <c r="G26" s="965"/>
      <c r="H26" s="985"/>
    </row>
    <row r="27" spans="1:8" s="966" customFormat="1" x14ac:dyDescent="0.25">
      <c r="A27" s="970"/>
      <c r="B27" s="1297"/>
      <c r="C27" s="1290"/>
      <c r="D27" s="970"/>
      <c r="E27" s="1291"/>
      <c r="F27" s="972"/>
      <c r="G27" s="965"/>
      <c r="H27" s="985"/>
    </row>
    <row r="28" spans="1:8" s="966" customFormat="1" x14ac:dyDescent="0.25">
      <c r="A28" s="970"/>
      <c r="B28" s="1298" t="s">
        <v>1781</v>
      </c>
      <c r="C28" s="1290"/>
      <c r="D28" s="970"/>
      <c r="E28" s="1291"/>
      <c r="F28" s="972"/>
      <c r="G28" s="965"/>
      <c r="H28" s="985"/>
    </row>
    <row r="29" spans="1:8" s="966" customFormat="1" x14ac:dyDescent="0.25">
      <c r="A29" s="970"/>
      <c r="B29" s="1298"/>
      <c r="C29" s="1290"/>
      <c r="D29" s="970"/>
      <c r="E29" s="1291"/>
      <c r="F29" s="972"/>
      <c r="G29" s="965"/>
      <c r="H29" s="985"/>
    </row>
    <row r="30" spans="1:8" s="966" customFormat="1" ht="27.6" x14ac:dyDescent="0.25">
      <c r="A30" s="970"/>
      <c r="B30" s="1295" t="s">
        <v>1830</v>
      </c>
      <c r="C30" s="1290"/>
      <c r="D30" s="970"/>
      <c r="E30" s="1291"/>
      <c r="F30" s="972"/>
      <c r="G30" s="965"/>
      <c r="H30" s="985"/>
    </row>
    <row r="31" spans="1:8" s="966" customFormat="1" x14ac:dyDescent="0.25">
      <c r="A31" s="970"/>
      <c r="B31" s="1299"/>
      <c r="C31" s="1290"/>
      <c r="D31" s="970"/>
      <c r="E31" s="1291"/>
      <c r="F31" s="972"/>
      <c r="G31" s="965"/>
      <c r="H31" s="985"/>
    </row>
    <row r="32" spans="1:8" s="966" customFormat="1" x14ac:dyDescent="0.25">
      <c r="A32" s="970"/>
      <c r="B32" s="1299" t="s">
        <v>1831</v>
      </c>
      <c r="C32" s="1290"/>
      <c r="D32" s="970"/>
      <c r="E32" s="1291"/>
      <c r="F32" s="972"/>
      <c r="G32" s="965"/>
      <c r="H32" s="985"/>
    </row>
    <row r="33" spans="1:25" s="966" customFormat="1" x14ac:dyDescent="0.25">
      <c r="A33" s="970"/>
      <c r="B33" s="1299"/>
      <c r="C33" s="1290"/>
      <c r="D33" s="970"/>
      <c r="E33" s="1291"/>
      <c r="F33" s="972"/>
      <c r="G33" s="965"/>
      <c r="H33" s="985"/>
    </row>
    <row r="34" spans="1:25" s="966" customFormat="1" ht="41.4" x14ac:dyDescent="0.25">
      <c r="A34" s="970"/>
      <c r="B34" s="1295" t="s">
        <v>1832</v>
      </c>
      <c r="C34" s="1290"/>
      <c r="D34" s="970"/>
      <c r="E34" s="1291"/>
      <c r="F34" s="972"/>
      <c r="G34" s="965"/>
      <c r="H34" s="985"/>
    </row>
    <row r="35" spans="1:25" s="966" customFormat="1" x14ac:dyDescent="0.25">
      <c r="A35" s="970"/>
      <c r="B35" s="1299"/>
      <c r="C35" s="1290"/>
      <c r="D35" s="970"/>
      <c r="E35" s="1291"/>
      <c r="F35" s="972"/>
      <c r="G35" s="965"/>
      <c r="H35" s="985"/>
    </row>
    <row r="36" spans="1:25" s="966" customFormat="1" ht="41.4" x14ac:dyDescent="0.25">
      <c r="A36" s="970"/>
      <c r="B36" s="1295" t="s">
        <v>1833</v>
      </c>
      <c r="C36" s="1290"/>
      <c r="D36" s="970"/>
      <c r="E36" s="1291"/>
      <c r="F36" s="972"/>
      <c r="G36" s="965"/>
      <c r="H36" s="985"/>
    </row>
    <row r="37" spans="1:25" s="966" customFormat="1" x14ac:dyDescent="0.25">
      <c r="A37" s="970"/>
      <c r="B37" s="1299"/>
      <c r="C37" s="1290"/>
      <c r="D37" s="970"/>
      <c r="E37" s="1291"/>
      <c r="F37" s="972"/>
      <c r="G37" s="965"/>
      <c r="H37" s="985"/>
    </row>
    <row r="38" spans="1:25" s="966" customFormat="1" x14ac:dyDescent="0.25">
      <c r="A38" s="1300"/>
      <c r="B38" s="1564" t="s">
        <v>1834</v>
      </c>
      <c r="C38" s="1301"/>
      <c r="D38" s="1300"/>
      <c r="E38" s="1302"/>
      <c r="F38" s="1303"/>
      <c r="G38" s="965"/>
      <c r="H38" s="985"/>
    </row>
    <row r="39" spans="1:25" s="966" customFormat="1" ht="30.6" customHeight="1" x14ac:dyDescent="0.25">
      <c r="A39" s="1565"/>
      <c r="B39" s="1566" t="s">
        <v>1835</v>
      </c>
      <c r="C39" s="1567"/>
      <c r="D39" s="1565"/>
      <c r="E39" s="1568"/>
      <c r="F39" s="1569"/>
      <c r="G39" s="965"/>
      <c r="H39" s="985"/>
    </row>
    <row r="40" spans="1:25" s="966" customFormat="1" x14ac:dyDescent="0.25">
      <c r="A40" s="970"/>
      <c r="B40" s="970"/>
      <c r="C40" s="1290"/>
      <c r="D40" s="970"/>
      <c r="E40" s="1291"/>
      <c r="F40" s="972"/>
      <c r="G40" s="965"/>
      <c r="H40" s="985"/>
    </row>
    <row r="41" spans="1:25" s="1309" customFormat="1" ht="27.6" x14ac:dyDescent="0.25">
      <c r="A41" s="1552"/>
      <c r="B41" s="1553" t="s">
        <v>1836</v>
      </c>
      <c r="C41" s="1554"/>
      <c r="D41" s="1555"/>
      <c r="E41" s="1339"/>
      <c r="F41" s="1348"/>
      <c r="G41" s="1304"/>
      <c r="H41" s="1305"/>
      <c r="I41" s="1306"/>
      <c r="J41" s="1306"/>
      <c r="K41" s="1306"/>
      <c r="L41" s="1306"/>
      <c r="M41" s="1306"/>
      <c r="N41" s="1306"/>
      <c r="O41" s="1306"/>
      <c r="P41" s="1306"/>
      <c r="Q41" s="1306"/>
      <c r="R41" s="1306"/>
      <c r="S41" s="1306"/>
      <c r="T41" s="1306"/>
      <c r="U41" s="1306"/>
      <c r="V41" s="1306"/>
      <c r="W41" s="1307"/>
      <c r="X41" s="1308"/>
      <c r="Y41" s="1307"/>
    </row>
    <row r="42" spans="1:25" x14ac:dyDescent="0.25">
      <c r="A42" s="1310"/>
      <c r="B42" s="952"/>
      <c r="C42" s="1077"/>
      <c r="D42" s="948"/>
      <c r="E42" s="1079"/>
      <c r="F42" s="1008"/>
      <c r="S42" s="1046"/>
      <c r="T42" s="1004"/>
      <c r="U42" s="1046"/>
    </row>
    <row r="43" spans="1:25" s="1122" customFormat="1" ht="102.6" customHeight="1" x14ac:dyDescent="0.25">
      <c r="A43" s="1125">
        <v>1</v>
      </c>
      <c r="B43" s="904" t="s">
        <v>1837</v>
      </c>
      <c r="C43" s="1233">
        <v>1</v>
      </c>
      <c r="D43" s="1125" t="s">
        <v>13</v>
      </c>
      <c r="E43" s="1097">
        <v>545000</v>
      </c>
      <c r="F43" s="1234">
        <f>E43*C43</f>
        <v>545000</v>
      </c>
      <c r="H43" s="1235"/>
    </row>
    <row r="44" spans="1:25" s="1122" customFormat="1" x14ac:dyDescent="0.25">
      <c r="A44" s="1125"/>
      <c r="B44" s="904"/>
      <c r="C44" s="1311"/>
      <c r="D44" s="1125"/>
      <c r="E44" s="1097"/>
      <c r="F44" s="1234"/>
      <c r="H44" s="1235"/>
    </row>
    <row r="45" spans="1:25" ht="47.4" customHeight="1" x14ac:dyDescent="0.25">
      <c r="A45" s="1312">
        <f>IF(C45&gt;0,COUNT(C$43:C45),"")</f>
        <v>2</v>
      </c>
      <c r="B45" s="952" t="s">
        <v>1838</v>
      </c>
      <c r="C45" s="1233">
        <v>1</v>
      </c>
      <c r="D45" s="1125" t="s">
        <v>13</v>
      </c>
      <c r="E45" s="1097">
        <v>200000</v>
      </c>
      <c r="F45" s="1234">
        <f>E45*C45</f>
        <v>200000</v>
      </c>
      <c r="S45" s="1046"/>
      <c r="T45" s="1004"/>
      <c r="U45" s="1046"/>
    </row>
    <row r="46" spans="1:25" x14ac:dyDescent="0.25">
      <c r="A46" s="1312" t="str">
        <f>IF(C46&gt;0,COUNT(C$43:C46),"")</f>
        <v/>
      </c>
      <c r="B46" s="952"/>
      <c r="C46" s="1077"/>
      <c r="D46" s="948"/>
      <c r="E46" s="949"/>
      <c r="F46" s="1205"/>
      <c r="S46" s="1046"/>
      <c r="T46" s="1004"/>
      <c r="U46" s="1046"/>
    </row>
    <row r="47" spans="1:25" s="1315" customFormat="1" ht="62.4" customHeight="1" x14ac:dyDescent="0.25">
      <c r="A47" s="1312">
        <f>IF(C47&gt;0,COUNT(C$43:C47),"")</f>
        <v>3</v>
      </c>
      <c r="B47" s="1313" t="s">
        <v>1839</v>
      </c>
      <c r="C47" s="1233">
        <v>2</v>
      </c>
      <c r="D47" s="1312" t="s">
        <v>13</v>
      </c>
      <c r="E47" s="1314">
        <v>75000</v>
      </c>
      <c r="F47" s="1234">
        <f>E47*C47</f>
        <v>150000</v>
      </c>
      <c r="H47" s="1316"/>
    </row>
    <row r="48" spans="1:25" s="1315" customFormat="1" x14ac:dyDescent="0.25">
      <c r="A48" s="1312" t="str">
        <f>IF(C48&gt;0,COUNT(C$43:C48),"")</f>
        <v/>
      </c>
      <c r="B48" s="904"/>
      <c r="C48" s="1233"/>
      <c r="D48" s="1312"/>
      <c r="E48" s="1097"/>
      <c r="F48" s="1234"/>
      <c r="H48" s="1316"/>
    </row>
    <row r="49" spans="1:28" s="1122" customFormat="1" ht="61.2" customHeight="1" x14ac:dyDescent="0.25">
      <c r="A49" s="1312">
        <f>IF(C49&gt;0,COUNT(C$43:C49),"")</f>
        <v>4</v>
      </c>
      <c r="B49" s="904" t="s">
        <v>1840</v>
      </c>
      <c r="C49" s="1233">
        <v>15</v>
      </c>
      <c r="D49" s="1125" t="s">
        <v>1748</v>
      </c>
      <c r="E49" s="1097">
        <v>4500</v>
      </c>
      <c r="F49" s="1234">
        <f>E49*C49</f>
        <v>67500</v>
      </c>
      <c r="H49" s="1235"/>
    </row>
    <row r="50" spans="1:28" s="1315" customFormat="1" x14ac:dyDescent="0.25">
      <c r="A50" s="1312" t="str">
        <f>IF(C50&gt;0,COUNT(C$43:C50),"")</f>
        <v/>
      </c>
      <c r="B50" s="904"/>
      <c r="C50" s="1233"/>
      <c r="D50" s="1312"/>
      <c r="E50" s="1097"/>
      <c r="F50" s="1234"/>
      <c r="H50" s="1316"/>
    </row>
    <row r="51" spans="1:28" s="1122" customFormat="1" ht="61.8" customHeight="1" x14ac:dyDescent="0.25">
      <c r="A51" s="1312">
        <f>IF(C51&gt;0,COUNT(C$43:C51),"")</f>
        <v>5</v>
      </c>
      <c r="B51" s="904" t="s">
        <v>1841</v>
      </c>
      <c r="C51" s="1233">
        <v>19</v>
      </c>
      <c r="D51" s="1125" t="s">
        <v>1748</v>
      </c>
      <c r="E51" s="1097">
        <v>4500</v>
      </c>
      <c r="F51" s="1234">
        <f>E51*C51</f>
        <v>85500</v>
      </c>
      <c r="H51" s="1235"/>
    </row>
    <row r="52" spans="1:28" x14ac:dyDescent="0.25">
      <c r="A52" s="1312" t="str">
        <f>IF(C52&gt;0,COUNT(C$43:C52),"")</f>
        <v/>
      </c>
      <c r="B52" s="952"/>
      <c r="C52" s="1077"/>
      <c r="D52" s="948"/>
      <c r="E52" s="1079"/>
      <c r="F52" s="1008"/>
      <c r="S52" s="1046"/>
      <c r="T52" s="1004"/>
      <c r="U52" s="1046"/>
    </row>
    <row r="53" spans="1:28" s="978" customFormat="1" ht="102.6" customHeight="1" x14ac:dyDescent="0.25">
      <c r="A53" s="1312" t="str">
        <f>IF(C53&gt;0,COUNT(C$43:C53),"")</f>
        <v/>
      </c>
      <c r="B53" s="904" t="s">
        <v>1842</v>
      </c>
      <c r="C53" s="947"/>
      <c r="D53" s="948"/>
      <c r="E53" s="949"/>
      <c r="F53" s="1205"/>
      <c r="G53" s="977"/>
      <c r="S53" s="1003"/>
      <c r="T53" s="1004"/>
      <c r="U53" s="1003"/>
    </row>
    <row r="54" spans="1:28" s="978" customFormat="1" x14ac:dyDescent="0.25">
      <c r="A54" s="1312" t="str">
        <f>IF(C54&gt;0,COUNT(C$43:C54),"")</f>
        <v/>
      </c>
      <c r="B54" s="904"/>
      <c r="C54" s="947"/>
      <c r="D54" s="948"/>
      <c r="E54" s="949"/>
      <c r="F54" s="1205"/>
      <c r="G54" s="977"/>
      <c r="S54" s="1003"/>
      <c r="T54" s="1004"/>
      <c r="U54" s="1003"/>
    </row>
    <row r="55" spans="1:28" s="978" customFormat="1" x14ac:dyDescent="0.25">
      <c r="A55" s="1312">
        <f>IF(C55&gt;0,COUNT(C$43:C55),"")</f>
        <v>6</v>
      </c>
      <c r="B55" s="904" t="s">
        <v>1678</v>
      </c>
      <c r="C55" s="1077">
        <v>2</v>
      </c>
      <c r="D55" s="1317" t="s">
        <v>0</v>
      </c>
      <c r="E55" s="949">
        <v>8800</v>
      </c>
      <c r="F55" s="1234">
        <f>E55*C55</f>
        <v>17600</v>
      </c>
      <c r="G55" s="977"/>
      <c r="S55" s="1003"/>
      <c r="T55" s="1004"/>
      <c r="U55" s="1003"/>
    </row>
    <row r="56" spans="1:28" s="978" customFormat="1" x14ac:dyDescent="0.25">
      <c r="A56" s="1312" t="str">
        <f>IF(C56&gt;0,COUNT(C$43:C56),"")</f>
        <v/>
      </c>
      <c r="B56" s="904"/>
      <c r="C56" s="1077"/>
      <c r="D56" s="1206"/>
      <c r="E56" s="949"/>
      <c r="F56" s="1205"/>
      <c r="G56" s="977"/>
      <c r="S56" s="1003"/>
      <c r="T56" s="1004"/>
      <c r="U56" s="1003"/>
    </row>
    <row r="57" spans="1:28" s="1055" customFormat="1" x14ac:dyDescent="0.25">
      <c r="A57" s="1312">
        <f>IF(C57&gt;0,COUNT(C$43:C57),"")</f>
        <v>7</v>
      </c>
      <c r="B57" s="904" t="s">
        <v>1679</v>
      </c>
      <c r="C57" s="1077">
        <v>3</v>
      </c>
      <c r="D57" s="1317" t="s">
        <v>0</v>
      </c>
      <c r="E57" s="949">
        <v>8800</v>
      </c>
      <c r="F57" s="1234">
        <f>E57*C57</f>
        <v>26400</v>
      </c>
      <c r="U57" s="1056"/>
      <c r="V57" s="1057"/>
      <c r="W57" s="1056"/>
    </row>
    <row r="58" spans="1:28" s="1055" customFormat="1" x14ac:dyDescent="0.25">
      <c r="A58" s="1312" t="str">
        <f>IF(C58&gt;0,COUNT(C$43:C58),"")</f>
        <v/>
      </c>
      <c r="B58" s="904"/>
      <c r="C58" s="1077"/>
      <c r="D58" s="1317"/>
      <c r="E58" s="949"/>
      <c r="F58" s="950"/>
      <c r="U58" s="1056"/>
      <c r="V58" s="1057"/>
      <c r="W58" s="1056"/>
    </row>
    <row r="59" spans="1:28" s="1055" customFormat="1" x14ac:dyDescent="0.25">
      <c r="A59" s="1312">
        <f>IF(C59&gt;0,COUNT(C$43:C59),"")</f>
        <v>8</v>
      </c>
      <c r="B59" s="904" t="s">
        <v>1680</v>
      </c>
      <c r="C59" s="1077">
        <v>5</v>
      </c>
      <c r="D59" s="1317" t="s">
        <v>0</v>
      </c>
      <c r="E59" s="949">
        <v>8800</v>
      </c>
      <c r="F59" s="1234">
        <f>E59*C59</f>
        <v>44000</v>
      </c>
      <c r="U59" s="1056"/>
      <c r="V59" s="1057"/>
      <c r="W59" s="1056"/>
    </row>
    <row r="60" spans="1:28" s="1055" customFormat="1" x14ac:dyDescent="0.25">
      <c r="A60" s="1312" t="str">
        <f>IF(C60&gt;0,COUNT(C$43:C60),"")</f>
        <v/>
      </c>
      <c r="B60" s="904"/>
      <c r="C60" s="1077"/>
      <c r="D60" s="1317"/>
      <c r="E60" s="949"/>
      <c r="F60" s="950"/>
      <c r="U60" s="1056"/>
      <c r="V60" s="1057"/>
      <c r="W60" s="1056"/>
    </row>
    <row r="61" spans="1:28" s="1055" customFormat="1" x14ac:dyDescent="0.25">
      <c r="A61" s="1312">
        <f>IF(C61&gt;0,COUNT(C$43:C61),"")</f>
        <v>9</v>
      </c>
      <c r="B61" s="904" t="s">
        <v>1681</v>
      </c>
      <c r="C61" s="1077">
        <v>5</v>
      </c>
      <c r="D61" s="1317" t="s">
        <v>0</v>
      </c>
      <c r="E61" s="949">
        <v>8800</v>
      </c>
      <c r="F61" s="1234">
        <f>E61*C61</f>
        <v>44000</v>
      </c>
      <c r="U61" s="1056"/>
      <c r="V61" s="1057"/>
      <c r="W61" s="1056"/>
    </row>
    <row r="62" spans="1:28" s="1055" customFormat="1" x14ac:dyDescent="0.25">
      <c r="A62" s="1312" t="str">
        <f>IF(C62&gt;0,COUNT(C$43:C62),"")</f>
        <v/>
      </c>
      <c r="B62" s="904"/>
      <c r="C62" s="1077"/>
      <c r="D62" s="1317"/>
      <c r="E62" s="949"/>
      <c r="F62" s="950"/>
      <c r="U62" s="1056"/>
      <c r="V62" s="1057"/>
      <c r="W62" s="1056"/>
    </row>
    <row r="63" spans="1:28" s="1315" customFormat="1" ht="61.8" customHeight="1" x14ac:dyDescent="0.25">
      <c r="A63" s="1318">
        <f>IF(C63&gt;0,COUNT(C$43:C63),"")</f>
        <v>10</v>
      </c>
      <c r="B63" s="1570" t="s">
        <v>1843</v>
      </c>
      <c r="C63" s="1528">
        <v>1</v>
      </c>
      <c r="D63" s="1571" t="s">
        <v>13</v>
      </c>
      <c r="E63" s="1572">
        <v>100000</v>
      </c>
      <c r="F63" s="1531">
        <f>E63*C63</f>
        <v>100000</v>
      </c>
      <c r="H63" s="1316"/>
    </row>
    <row r="64" spans="1:28" s="1331" customFormat="1" ht="60.6" customHeight="1" x14ac:dyDescent="0.25">
      <c r="A64" s="1322" t="str">
        <f>IF(C64&gt;0,COUNT(C$43:C64),"")</f>
        <v/>
      </c>
      <c r="B64" s="1573" t="s">
        <v>1844</v>
      </c>
      <c r="C64" s="1323"/>
      <c r="D64" s="1324" t="s">
        <v>1362</v>
      </c>
      <c r="E64" s="1325"/>
      <c r="F64" s="1574"/>
      <c r="G64" s="1327"/>
      <c r="H64" s="1270"/>
      <c r="I64" s="1328"/>
      <c r="J64" s="1329"/>
      <c r="K64" s="1330"/>
      <c r="Z64" s="1332"/>
      <c r="AA64" s="1266"/>
      <c r="AB64" s="1332"/>
    </row>
    <row r="65" spans="1:28" s="1315" customFormat="1" x14ac:dyDescent="0.25">
      <c r="A65" s="1312" t="str">
        <f>IF(C65&gt;0,COUNT(C$43:C65),"")</f>
        <v/>
      </c>
      <c r="B65" s="1333"/>
      <c r="C65" s="1244"/>
      <c r="D65" s="1293"/>
      <c r="E65" s="1293"/>
      <c r="F65" s="1334"/>
      <c r="H65" s="1316"/>
    </row>
    <row r="66" spans="1:28" s="1331" customFormat="1" x14ac:dyDescent="0.25">
      <c r="A66" s="1312" t="str">
        <f>IF(C66&gt;0,COUNT(C$43:C66),"")</f>
        <v/>
      </c>
      <c r="B66" s="1158" t="s">
        <v>1689</v>
      </c>
      <c r="C66" s="1233"/>
      <c r="D66" s="1326"/>
      <c r="E66" s="1335"/>
      <c r="F66" s="1336"/>
      <c r="G66" s="1327"/>
      <c r="H66" s="1270"/>
      <c r="I66" s="1328"/>
      <c r="J66" s="1329"/>
      <c r="K66" s="1330"/>
      <c r="Z66" s="1332"/>
      <c r="AA66" s="1266"/>
      <c r="AB66" s="1332"/>
    </row>
    <row r="67" spans="1:28" s="1331" customFormat="1" ht="47.4" customHeight="1" x14ac:dyDescent="0.25">
      <c r="A67" s="1312">
        <f>IF(C67&gt;0,COUNT(C$43:C67),"")</f>
        <v>11</v>
      </c>
      <c r="B67" s="952" t="s">
        <v>1690</v>
      </c>
      <c r="C67" s="1233">
        <v>1</v>
      </c>
      <c r="D67" s="1326" t="s">
        <v>13</v>
      </c>
      <c r="E67" s="1314">
        <v>50000</v>
      </c>
      <c r="F67" s="1234">
        <f>E67*C67</f>
        <v>50000</v>
      </c>
      <c r="G67" s="1327"/>
      <c r="H67" s="1270"/>
      <c r="I67" s="1328"/>
      <c r="J67" s="1329"/>
      <c r="K67" s="1330"/>
      <c r="Z67" s="1332"/>
      <c r="AA67" s="1266"/>
      <c r="AB67" s="1332"/>
    </row>
    <row r="68" spans="1:28" s="1315" customFormat="1" x14ac:dyDescent="0.25">
      <c r="A68" s="1312" t="str">
        <f>IF(C68&gt;0,COUNT(C$43:C68),"")</f>
        <v/>
      </c>
      <c r="B68" s="946"/>
      <c r="C68" s="1244"/>
      <c r="D68" s="1293"/>
      <c r="E68" s="1293"/>
      <c r="F68" s="1334"/>
      <c r="H68" s="1316"/>
    </row>
    <row r="69" spans="1:28" s="1331" customFormat="1" x14ac:dyDescent="0.25">
      <c r="A69" s="1312" t="str">
        <f>IF(C69&gt;0,COUNT(C$43:C69),"")</f>
        <v/>
      </c>
      <c r="B69" s="1018" t="s">
        <v>1691</v>
      </c>
      <c r="C69" s="1233"/>
      <c r="D69" s="1326"/>
      <c r="E69" s="1335"/>
      <c r="F69" s="1336"/>
      <c r="G69" s="1327"/>
      <c r="H69" s="1270"/>
      <c r="I69" s="1328"/>
      <c r="J69" s="1329"/>
      <c r="K69" s="1330"/>
      <c r="Z69" s="1332"/>
      <c r="AA69" s="1266"/>
      <c r="AB69" s="1332"/>
    </row>
    <row r="70" spans="1:28" s="1331" customFormat="1" ht="32.4" customHeight="1" x14ac:dyDescent="0.25">
      <c r="A70" s="1312">
        <f>IF(C70&gt;0,COUNT(C$43:C70),"")</f>
        <v>12</v>
      </c>
      <c r="B70" s="946" t="s">
        <v>1692</v>
      </c>
      <c r="C70" s="1233">
        <v>1</v>
      </c>
      <c r="D70" s="1326" t="s">
        <v>13</v>
      </c>
      <c r="E70" s="1314">
        <v>50000</v>
      </c>
      <c r="F70" s="1234">
        <f>E70*C70</f>
        <v>50000</v>
      </c>
      <c r="G70" s="1327"/>
      <c r="H70" s="1270"/>
      <c r="I70" s="1328"/>
      <c r="J70" s="1329"/>
      <c r="K70" s="1330"/>
      <c r="Z70" s="1332"/>
      <c r="AA70" s="1266"/>
      <c r="AB70" s="1332"/>
    </row>
    <row r="71" spans="1:28" s="1309" customFormat="1" x14ac:dyDescent="0.25">
      <c r="A71" s="1312" t="str">
        <f>IF(C71&gt;0,COUNT(C$43:C71),"")</f>
        <v/>
      </c>
      <c r="B71" s="952"/>
      <c r="C71" s="1337"/>
      <c r="D71" s="1338"/>
      <c r="E71" s="1339"/>
      <c r="F71" s="1340"/>
      <c r="G71" s="1304"/>
      <c r="H71" s="1341"/>
      <c r="I71" s="1342"/>
      <c r="J71" s="1305"/>
      <c r="K71" s="1306"/>
      <c r="L71" s="1306"/>
      <c r="M71" s="1306"/>
      <c r="N71" s="1306"/>
      <c r="O71" s="1306"/>
      <c r="P71" s="1306"/>
      <c r="Q71" s="1306"/>
      <c r="R71" s="1306"/>
      <c r="S71" s="1306"/>
      <c r="T71" s="1306"/>
      <c r="U71" s="1306"/>
      <c r="V71" s="1306"/>
      <c r="W71" s="1306"/>
      <c r="X71" s="1306"/>
      <c r="Y71" s="1306"/>
      <c r="Z71" s="1307"/>
      <c r="AA71" s="1308"/>
      <c r="AB71" s="1307"/>
    </row>
    <row r="72" spans="1:28" s="1309" customFormat="1" x14ac:dyDescent="0.25">
      <c r="A72" s="1312" t="str">
        <f>IF(C72&gt;0,COUNT(C$43:C72),"")</f>
        <v/>
      </c>
      <c r="B72" s="1158" t="s">
        <v>1693</v>
      </c>
      <c r="C72" s="1343"/>
      <c r="D72" s="1344"/>
      <c r="E72" s="1339"/>
      <c r="F72" s="1340"/>
      <c r="G72" s="1304"/>
      <c r="H72" s="1341"/>
      <c r="I72" s="1342"/>
      <c r="J72" s="1306"/>
      <c r="K72" s="1306"/>
      <c r="L72" s="1306"/>
      <c r="M72" s="1306"/>
      <c r="N72" s="1306"/>
      <c r="O72" s="1306"/>
      <c r="P72" s="1306"/>
      <c r="Q72" s="1306"/>
      <c r="R72" s="1306"/>
      <c r="S72" s="1306"/>
      <c r="T72" s="1306"/>
      <c r="U72" s="1306"/>
      <c r="V72" s="1306"/>
      <c r="W72" s="1306"/>
      <c r="X72" s="1306"/>
      <c r="Y72" s="1306"/>
      <c r="Z72" s="1307"/>
      <c r="AA72" s="1308"/>
      <c r="AB72" s="1307"/>
    </row>
    <row r="73" spans="1:28" s="1309" customFormat="1" ht="73.2" customHeight="1" x14ac:dyDescent="0.25">
      <c r="A73" s="1312">
        <f>IF(C73&gt;0,COUNT(C$43:C73),"")</f>
        <v>13</v>
      </c>
      <c r="B73" s="952" t="s">
        <v>1845</v>
      </c>
      <c r="C73" s="1077">
        <v>1</v>
      </c>
      <c r="D73" s="1344" t="s">
        <v>13</v>
      </c>
      <c r="E73" s="1314"/>
      <c r="F73" s="1234">
        <f>E73*C73</f>
        <v>0</v>
      </c>
      <c r="G73" s="1345"/>
      <c r="H73" s="1345"/>
      <c r="I73" s="1342"/>
      <c r="J73" s="1306"/>
      <c r="K73" s="1306"/>
      <c r="L73" s="1306"/>
      <c r="M73" s="1306"/>
      <c r="N73" s="1306"/>
      <c r="O73" s="1306"/>
      <c r="P73" s="1306"/>
      <c r="Q73" s="1306"/>
      <c r="R73" s="1306"/>
      <c r="S73" s="1306"/>
      <c r="T73" s="1306"/>
      <c r="U73" s="1306"/>
      <c r="V73" s="1306"/>
      <c r="W73" s="1306"/>
      <c r="X73" s="1306"/>
      <c r="Y73" s="1306"/>
      <c r="Z73" s="1307"/>
      <c r="AA73" s="1308"/>
      <c r="AB73" s="1307"/>
    </row>
    <row r="74" spans="1:28" s="1309" customFormat="1" x14ac:dyDescent="0.25">
      <c r="A74" s="1346"/>
      <c r="B74" s="1347"/>
      <c r="C74" s="1343"/>
      <c r="D74" s="1344"/>
      <c r="E74" s="1339"/>
      <c r="F74" s="1348"/>
      <c r="G74" s="1304"/>
      <c r="H74" s="1341"/>
      <c r="I74" s="1342"/>
      <c r="J74" s="1306"/>
      <c r="K74" s="1306"/>
      <c r="L74" s="1306"/>
      <c r="M74" s="1306"/>
      <c r="N74" s="1306"/>
      <c r="O74" s="1306"/>
      <c r="P74" s="1306"/>
      <c r="Q74" s="1306"/>
      <c r="R74" s="1306"/>
      <c r="S74" s="1306"/>
      <c r="T74" s="1306"/>
      <c r="U74" s="1306"/>
      <c r="V74" s="1306"/>
      <c r="W74" s="1306"/>
      <c r="X74" s="1306"/>
      <c r="Y74" s="1306"/>
      <c r="Z74" s="1307"/>
      <c r="AA74" s="1308"/>
      <c r="AB74" s="1307"/>
    </row>
    <row r="75" spans="1:28" s="1065" customFormat="1" ht="14.4" thickBot="1" x14ac:dyDescent="0.3">
      <c r="A75" s="1067"/>
      <c r="B75" s="1349" t="s">
        <v>1695</v>
      </c>
      <c r="C75" s="1350"/>
      <c r="D75" s="1351"/>
      <c r="E75" s="1352" t="s">
        <v>83</v>
      </c>
      <c r="F75" s="1072">
        <f>SUM(F43:F74)</f>
        <v>1380000</v>
      </c>
      <c r="G75" s="1064"/>
      <c r="H75" s="1036"/>
      <c r="S75" s="1066"/>
      <c r="T75" s="1004"/>
      <c r="U75" s="1066"/>
    </row>
    <row r="76" spans="1:28" ht="14.4" thickTop="1" x14ac:dyDescent="0.25">
      <c r="A76" s="1575"/>
      <c r="F76" s="1576"/>
      <c r="S76" s="1046"/>
      <c r="T76" s="1004"/>
      <c r="U76" s="1046"/>
    </row>
    <row r="77" spans="1:28" x14ac:dyDescent="0.25">
      <c r="A77" s="1575"/>
      <c r="B77" s="2791" t="s">
        <v>1846</v>
      </c>
      <c r="F77" s="1576"/>
      <c r="S77" s="1046"/>
      <c r="T77" s="1004"/>
      <c r="U77" s="1046"/>
    </row>
    <row r="78" spans="1:28" x14ac:dyDescent="0.25">
      <c r="A78" s="1575"/>
      <c r="B78" s="2791"/>
      <c r="F78" s="1576"/>
      <c r="S78" s="1046"/>
      <c r="T78" s="1004"/>
      <c r="U78" s="1046"/>
    </row>
    <row r="79" spans="1:28" x14ac:dyDescent="0.25">
      <c r="A79" s="1575"/>
      <c r="F79" s="1576"/>
      <c r="S79" s="1046"/>
      <c r="T79" s="1004"/>
      <c r="U79" s="1046"/>
    </row>
    <row r="80" spans="1:28" ht="27.6" x14ac:dyDescent="0.25">
      <c r="A80" s="1575"/>
      <c r="B80" s="1353" t="s">
        <v>1847</v>
      </c>
      <c r="F80" s="1576"/>
      <c r="S80" s="1046"/>
      <c r="T80" s="1004"/>
      <c r="U80" s="1046"/>
    </row>
    <row r="81" spans="1:21" x14ac:dyDescent="0.25">
      <c r="A81" s="1575"/>
      <c r="B81" s="1354"/>
      <c r="F81" s="1576"/>
      <c r="S81" s="1046"/>
      <c r="T81" s="1004"/>
      <c r="U81" s="1046"/>
    </row>
    <row r="82" spans="1:21" x14ac:dyDescent="0.25">
      <c r="A82" s="1575"/>
      <c r="B82" s="1354" t="s">
        <v>1848</v>
      </c>
      <c r="F82" s="1576"/>
      <c r="S82" s="1046"/>
      <c r="T82" s="1004"/>
      <c r="U82" s="1046"/>
    </row>
    <row r="83" spans="1:21" x14ac:dyDescent="0.25">
      <c r="A83" s="1575"/>
      <c r="B83" s="1354"/>
      <c r="F83" s="1576"/>
      <c r="S83" s="1046"/>
      <c r="T83" s="1004"/>
      <c r="U83" s="1046"/>
    </row>
    <row r="84" spans="1:21" x14ac:dyDescent="0.25">
      <c r="A84" s="1575"/>
      <c r="B84" s="1354" t="s">
        <v>1849</v>
      </c>
      <c r="F84" s="1576"/>
      <c r="S84" s="1046"/>
      <c r="T84" s="1004"/>
      <c r="U84" s="1046"/>
    </row>
    <row r="85" spans="1:21" x14ac:dyDescent="0.25">
      <c r="A85" s="1575"/>
      <c r="B85" s="1354"/>
      <c r="F85" s="1576"/>
      <c r="S85" s="1046"/>
      <c r="T85" s="1004"/>
      <c r="U85" s="1046"/>
    </row>
    <row r="86" spans="1:21" x14ac:dyDescent="0.25">
      <c r="A86" s="1575"/>
      <c r="B86" s="1354" t="s">
        <v>1850</v>
      </c>
      <c r="F86" s="1576"/>
      <c r="S86" s="1046"/>
      <c r="T86" s="1004"/>
      <c r="U86" s="1046"/>
    </row>
    <row r="87" spans="1:21" x14ac:dyDescent="0.25">
      <c r="A87" s="1575"/>
      <c r="B87" s="1354"/>
      <c r="F87" s="1576"/>
      <c r="S87" s="1046"/>
      <c r="T87" s="1004"/>
      <c r="U87" s="1046"/>
    </row>
    <row r="88" spans="1:21" x14ac:dyDescent="0.25">
      <c r="A88" s="1575"/>
      <c r="B88" s="1354" t="s">
        <v>1851</v>
      </c>
      <c r="F88" s="1576"/>
      <c r="S88" s="1046"/>
      <c r="T88" s="1004"/>
      <c r="U88" s="1046"/>
    </row>
    <row r="89" spans="1:21" x14ac:dyDescent="0.25">
      <c r="A89" s="1575"/>
      <c r="F89" s="1576"/>
      <c r="S89" s="1046"/>
      <c r="T89" s="1004"/>
      <c r="U89" s="1046"/>
    </row>
    <row r="90" spans="1:21" x14ac:dyDescent="0.25">
      <c r="A90" s="1575"/>
      <c r="F90" s="1576"/>
      <c r="S90" s="1046"/>
      <c r="T90" s="1004"/>
      <c r="U90" s="1046"/>
    </row>
    <row r="91" spans="1:21" s="1122" customFormat="1" ht="55.2" x14ac:dyDescent="0.25">
      <c r="A91" s="1577"/>
      <c r="B91" s="1279" t="s">
        <v>1852</v>
      </c>
      <c r="C91" s="1356"/>
      <c r="D91" s="1272"/>
      <c r="E91" s="1085"/>
      <c r="F91" s="1578"/>
    </row>
    <row r="92" spans="1:21" s="1122" customFormat="1" x14ac:dyDescent="0.25">
      <c r="A92" s="1577"/>
      <c r="B92" s="1279"/>
      <c r="C92" s="1356"/>
      <c r="D92" s="1272"/>
      <c r="E92" s="1085"/>
      <c r="F92" s="1578"/>
    </row>
    <row r="93" spans="1:21" s="1122" customFormat="1" ht="41.4" x14ac:dyDescent="0.25">
      <c r="A93" s="1577"/>
      <c r="B93" s="1357" t="s">
        <v>1714</v>
      </c>
      <c r="C93" s="1356"/>
      <c r="D93" s="1272"/>
      <c r="E93" s="1085"/>
      <c r="F93" s="1578"/>
    </row>
    <row r="94" spans="1:21" s="1122" customFormat="1" x14ac:dyDescent="0.25">
      <c r="A94" s="1577"/>
      <c r="B94" s="1279"/>
      <c r="C94" s="1356"/>
      <c r="D94" s="1272"/>
      <c r="E94" s="1085"/>
      <c r="F94" s="1578"/>
    </row>
    <row r="95" spans="1:21" s="1122" customFormat="1" ht="41.4" x14ac:dyDescent="0.25">
      <c r="A95" s="1577"/>
      <c r="B95" s="1358" t="s">
        <v>1819</v>
      </c>
      <c r="C95" s="1356"/>
      <c r="D95" s="1272"/>
      <c r="E95" s="1085"/>
      <c r="F95" s="1579"/>
    </row>
    <row r="96" spans="1:21" s="1122" customFormat="1" x14ac:dyDescent="0.25">
      <c r="A96" s="1577"/>
      <c r="B96" s="1235" t="s">
        <v>1853</v>
      </c>
      <c r="C96" s="1356"/>
      <c r="D96" s="1272"/>
      <c r="E96" s="1085"/>
      <c r="F96" s="1579"/>
    </row>
    <row r="97" spans="1:21" s="1122" customFormat="1" x14ac:dyDescent="0.25">
      <c r="A97" s="1577"/>
      <c r="B97" s="1235"/>
      <c r="C97" s="1356"/>
      <c r="D97" s="1272"/>
      <c r="E97" s="1085"/>
      <c r="F97" s="1579"/>
    </row>
    <row r="98" spans="1:21" s="1122" customFormat="1" x14ac:dyDescent="0.25">
      <c r="A98" s="1577"/>
      <c r="B98" s="1235"/>
      <c r="C98" s="1356"/>
      <c r="D98" s="1272"/>
      <c r="E98" s="1085"/>
      <c r="F98" s="1579"/>
    </row>
    <row r="99" spans="1:21" s="1122" customFormat="1" x14ac:dyDescent="0.25">
      <c r="A99" s="1577"/>
      <c r="B99" s="1275" t="s">
        <v>1716</v>
      </c>
      <c r="C99" s="1356"/>
      <c r="D99" s="1272"/>
      <c r="E99" s="1085"/>
      <c r="F99" s="1579"/>
    </row>
    <row r="100" spans="1:21" s="1122" customFormat="1" x14ac:dyDescent="0.25">
      <c r="A100" s="1580"/>
      <c r="B100" s="1498"/>
      <c r="C100" s="1581"/>
      <c r="D100" s="1540"/>
      <c r="E100" s="1433"/>
      <c r="F100" s="1582"/>
    </row>
    <row r="101" spans="1:21" s="1122" customFormat="1" x14ac:dyDescent="0.25">
      <c r="A101" s="1583"/>
      <c r="B101" s="1542"/>
      <c r="C101" s="1584"/>
      <c r="D101" s="1544"/>
      <c r="E101" s="1545"/>
      <c r="F101" s="1585"/>
    </row>
    <row r="102" spans="1:21" s="1122" customFormat="1" x14ac:dyDescent="0.25">
      <c r="A102" s="1577"/>
      <c r="B102" s="1275"/>
      <c r="C102" s="1356"/>
      <c r="D102" s="1272"/>
      <c r="E102" s="1085"/>
      <c r="F102" s="1579"/>
    </row>
    <row r="103" spans="1:21" s="1122" customFormat="1" x14ac:dyDescent="0.25">
      <c r="A103" s="1577"/>
      <c r="B103" s="1275" t="s">
        <v>1717</v>
      </c>
      <c r="C103" s="1356"/>
      <c r="D103" s="1272"/>
      <c r="E103" s="1085"/>
      <c r="F103" s="1579"/>
    </row>
    <row r="104" spans="1:21" s="1122" customFormat="1" x14ac:dyDescent="0.25">
      <c r="A104" s="1577"/>
      <c r="B104" s="1275"/>
      <c r="C104" s="1356"/>
      <c r="D104" s="1272"/>
      <c r="E104" s="1085"/>
      <c r="F104" s="1579"/>
    </row>
    <row r="105" spans="1:21" x14ac:dyDescent="0.25">
      <c r="A105" s="1577"/>
      <c r="B105" s="1275"/>
      <c r="C105" s="1356"/>
      <c r="D105" s="1272"/>
      <c r="E105" s="1235"/>
      <c r="F105" s="1586"/>
      <c r="H105" s="1045"/>
      <c r="S105" s="1046"/>
      <c r="T105" s="1004"/>
      <c r="U105" s="1046"/>
    </row>
    <row r="106" spans="1:21" x14ac:dyDescent="0.25">
      <c r="A106" s="1577"/>
      <c r="B106" s="1275"/>
      <c r="C106" s="1356"/>
      <c r="D106" s="1272"/>
      <c r="E106" s="1235"/>
      <c r="F106" s="1586"/>
      <c r="H106" s="1045"/>
      <c r="S106" s="1046"/>
      <c r="T106" s="1004"/>
      <c r="U106" s="1046"/>
    </row>
    <row r="107" spans="1:21" x14ac:dyDescent="0.25">
      <c r="A107" s="1577"/>
      <c r="B107" s="1275" t="s">
        <v>1718</v>
      </c>
      <c r="C107" s="1356"/>
      <c r="D107" s="1272"/>
      <c r="E107" s="1235"/>
      <c r="F107" s="1586"/>
      <c r="H107" s="1045"/>
      <c r="S107" s="1046"/>
      <c r="T107" s="1004"/>
      <c r="U107" s="1046"/>
    </row>
    <row r="108" spans="1:21" x14ac:dyDescent="0.25">
      <c r="A108" s="1577"/>
      <c r="B108" s="1275"/>
      <c r="C108" s="1356"/>
      <c r="D108" s="1272"/>
      <c r="E108" s="1235"/>
      <c r="F108" s="1586"/>
      <c r="H108" s="1045"/>
    </row>
    <row r="109" spans="1:21" x14ac:dyDescent="0.25">
      <c r="A109" s="1577"/>
      <c r="B109" s="1275"/>
      <c r="C109" s="1356"/>
      <c r="D109" s="1272"/>
      <c r="E109" s="1235"/>
      <c r="F109" s="1586"/>
      <c r="H109" s="1045"/>
    </row>
    <row r="110" spans="1:21" x14ac:dyDescent="0.25">
      <c r="A110" s="1577"/>
      <c r="B110" s="1275"/>
      <c r="C110" s="1356"/>
      <c r="D110" s="1272"/>
      <c r="E110" s="1235"/>
      <c r="F110" s="1586"/>
      <c r="H110" s="1045"/>
    </row>
    <row r="111" spans="1:21" x14ac:dyDescent="0.25">
      <c r="A111" s="1580"/>
      <c r="B111" s="1498" t="s">
        <v>1719</v>
      </c>
      <c r="C111" s="1581"/>
      <c r="D111" s="1540"/>
      <c r="E111" s="1433"/>
      <c r="F111" s="1582"/>
      <c r="H111" s="1045"/>
    </row>
    <row r="112" spans="1:21" x14ac:dyDescent="0.25">
      <c r="A112" s="1355"/>
      <c r="B112" s="1235"/>
      <c r="C112" s="1359"/>
      <c r="D112" s="1282"/>
      <c r="E112" s="1283"/>
      <c r="F112" s="1360"/>
      <c r="H112" s="1045"/>
    </row>
    <row r="113" spans="6:8" x14ac:dyDescent="0.25">
      <c r="F113" s="1361"/>
      <c r="H113" s="1045"/>
    </row>
    <row r="114" spans="6:8" x14ac:dyDescent="0.25">
      <c r="F114" s="1361"/>
      <c r="H114" s="1045"/>
    </row>
    <row r="115" spans="6:8" x14ac:dyDescent="0.25">
      <c r="F115" s="1361"/>
      <c r="H115" s="1045"/>
    </row>
    <row r="116" spans="6:8" x14ac:dyDescent="0.25">
      <c r="F116" s="1361"/>
      <c r="H116" s="1045"/>
    </row>
    <row r="117" spans="6:8" x14ac:dyDescent="0.25">
      <c r="F117" s="1361"/>
      <c r="H117" s="1045"/>
    </row>
    <row r="118" spans="6:8" x14ac:dyDescent="0.25">
      <c r="F118" s="1361"/>
      <c r="H118" s="1045"/>
    </row>
    <row r="119" spans="6:8" x14ac:dyDescent="0.25">
      <c r="F119" s="1361"/>
      <c r="H119" s="1045"/>
    </row>
    <row r="120" spans="6:8" x14ac:dyDescent="0.25">
      <c r="F120" s="1361"/>
      <c r="H120" s="1045"/>
    </row>
    <row r="121" spans="6:8" x14ac:dyDescent="0.25">
      <c r="F121" s="1361"/>
      <c r="H121" s="1045"/>
    </row>
    <row r="122" spans="6:8" x14ac:dyDescent="0.25">
      <c r="F122" s="1361"/>
      <c r="H122" s="1045"/>
    </row>
    <row r="123" spans="6:8" x14ac:dyDescent="0.25">
      <c r="F123" s="1361"/>
      <c r="H123" s="1045"/>
    </row>
    <row r="124" spans="6:8" x14ac:dyDescent="0.25">
      <c r="F124" s="1361"/>
      <c r="H124" s="1045"/>
    </row>
  </sheetData>
  <protectedRanges>
    <protectedRange sqref="E41 G41" name="Range1_2_1_1_1_1_2_1_1_1"/>
    <protectedRange sqref="G68 G43:G44 G71:G72 E74 G74 G51 G65 G49 E71:E72 G47 G63" name="Range1_4_1_1_2_1_1_2"/>
    <protectedRange sqref="G48 G50" name="Range1_4_1_1_2_1_1_2_1_1"/>
  </protectedRanges>
  <mergeCells count="2">
    <mergeCell ref="A3:B3"/>
    <mergeCell ref="B77:B78"/>
  </mergeCells>
  <pageMargins left="0.7" right="0.7" top="0.75" bottom="0.75" header="0.3" footer="0.3"/>
  <pageSetup paperSize="9"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M99"/>
  <sheetViews>
    <sheetView view="pageBreakPreview" zoomScaleNormal="85" zoomScaleSheetLayoutView="100" workbookViewId="0">
      <pane ySplit="1" topLeftCell="A47" activePane="bottomLeft" state="frozen"/>
      <selection pane="bottomLeft" activeCell="I64" sqref="I64"/>
    </sheetView>
  </sheetViews>
  <sheetFormatPr defaultColWidth="9.21875" defaultRowHeight="13.8" x14ac:dyDescent="0.25"/>
  <cols>
    <col min="1" max="1" width="4.88671875" style="38" bestFit="1" customWidth="1"/>
    <col min="2" max="2" width="53.77734375" style="36" bestFit="1" customWidth="1"/>
    <col min="3" max="3" width="9.109375" style="39" bestFit="1" customWidth="1"/>
    <col min="4" max="4" width="5.77734375" style="38" bestFit="1" customWidth="1"/>
    <col min="5" max="5" width="10.44140625" style="202" bestFit="1" customWidth="1"/>
    <col min="6" max="6" width="12.6640625" style="39" bestFit="1" customWidth="1"/>
    <col min="7" max="7" width="9.44140625" style="39" customWidth="1"/>
    <col min="8" max="8" width="10.109375" style="24" bestFit="1" customWidth="1"/>
    <col min="9" max="9" width="12.44140625" style="24" bestFit="1" customWidth="1"/>
    <col min="10" max="10" width="10" style="24" bestFit="1" customWidth="1"/>
    <col min="11" max="11" width="11" style="24" bestFit="1" customWidth="1"/>
    <col min="12" max="13" width="12.88671875" style="24" bestFit="1" customWidth="1"/>
    <col min="14" max="14" width="10.33203125" style="24" bestFit="1" customWidth="1"/>
    <col min="15" max="16384" width="9.21875" style="24"/>
  </cols>
  <sheetData>
    <row r="1" spans="1:10" s="31" customFormat="1" ht="14.4" thickBot="1" x14ac:dyDescent="0.3">
      <c r="A1" s="642" t="s">
        <v>0</v>
      </c>
      <c r="B1" s="642" t="s">
        <v>1</v>
      </c>
      <c r="C1" s="642" t="s">
        <v>2</v>
      </c>
      <c r="D1" s="707" t="s">
        <v>3</v>
      </c>
      <c r="E1" s="703" t="s">
        <v>4</v>
      </c>
      <c r="F1" s="705" t="s">
        <v>5</v>
      </c>
      <c r="G1" s="282" t="s">
        <v>709</v>
      </c>
    </row>
    <row r="2" spans="1:10" s="12" customFormat="1" x14ac:dyDescent="0.25">
      <c r="A2" s="298"/>
      <c r="B2" s="295" t="s">
        <v>778</v>
      </c>
      <c r="C2" s="301"/>
      <c r="D2" s="251"/>
      <c r="E2" s="293"/>
      <c r="F2" s="299"/>
      <c r="G2" s="283"/>
    </row>
    <row r="3" spans="1:10" s="12" customFormat="1" x14ac:dyDescent="0.25">
      <c r="A3" s="298"/>
      <c r="B3" s="296"/>
      <c r="C3" s="301"/>
      <c r="D3" s="251"/>
      <c r="E3" s="293"/>
      <c r="F3" s="299"/>
      <c r="G3" s="283"/>
    </row>
    <row r="4" spans="1:10" s="12" customFormat="1" x14ac:dyDescent="0.25">
      <c r="A4" s="298"/>
      <c r="B4" s="856" t="s">
        <v>1231</v>
      </c>
      <c r="C4" s="301"/>
      <c r="D4" s="251"/>
      <c r="E4" s="293"/>
      <c r="F4" s="299"/>
      <c r="G4" s="283"/>
    </row>
    <row r="5" spans="1:10" s="12" customFormat="1" x14ac:dyDescent="0.25">
      <c r="A5" s="298"/>
      <c r="B5" s="856"/>
      <c r="C5" s="301"/>
      <c r="D5" s="251"/>
      <c r="E5" s="293"/>
      <c r="F5" s="299"/>
      <c r="G5" s="283"/>
    </row>
    <row r="6" spans="1:10" x14ac:dyDescent="0.25">
      <c r="A6" s="335">
        <v>1</v>
      </c>
      <c r="B6" s="300" t="s">
        <v>1228</v>
      </c>
      <c r="C6" s="304"/>
      <c r="D6" s="251"/>
      <c r="E6" s="293"/>
      <c r="F6" s="299"/>
      <c r="G6" s="283"/>
    </row>
    <row r="7" spans="1:10" ht="41.4" x14ac:dyDescent="0.25">
      <c r="A7" s="226">
        <f>A6+0.01</f>
        <v>1.01</v>
      </c>
      <c r="B7" s="303" t="s">
        <v>1303</v>
      </c>
      <c r="C7" s="304" t="e">
        <f>'m shet Miss premila'!#REF!</f>
        <v>#REF!</v>
      </c>
      <c r="D7" s="251" t="s">
        <v>131</v>
      </c>
      <c r="E7" s="293">
        <v>3764</v>
      </c>
      <c r="F7" s="299" t="e">
        <f>+C7*E7</f>
        <v>#REF!</v>
      </c>
      <c r="G7" s="283"/>
      <c r="H7" s="24" t="e">
        <f>C7</f>
        <v>#REF!</v>
      </c>
      <c r="I7" s="24" t="e">
        <f>H7/3</f>
        <v>#REF!</v>
      </c>
      <c r="J7" s="24" t="e">
        <f>I7*10</f>
        <v>#REF!</v>
      </c>
    </row>
    <row r="8" spans="1:10" x14ac:dyDescent="0.25">
      <c r="A8" s="226"/>
      <c r="B8" s="303"/>
      <c r="C8" s="304"/>
      <c r="D8" s="251"/>
      <c r="E8" s="293"/>
      <c r="F8" s="299"/>
      <c r="G8" s="283"/>
    </row>
    <row r="9" spans="1:10" ht="41.4" x14ac:dyDescent="0.25">
      <c r="A9" s="226">
        <f>A7+0.01</f>
        <v>1.02</v>
      </c>
      <c r="B9" s="303" t="s">
        <v>1304</v>
      </c>
      <c r="C9" s="304" t="e">
        <f>C7</f>
        <v>#REF!</v>
      </c>
      <c r="D9" s="251" t="s">
        <v>131</v>
      </c>
      <c r="E9" s="293">
        <v>7417</v>
      </c>
      <c r="F9" s="299" t="e">
        <f>+C9*E9</f>
        <v>#REF!</v>
      </c>
      <c r="G9" s="283"/>
    </row>
    <row r="10" spans="1:10" x14ac:dyDescent="0.25">
      <c r="A10" s="226"/>
      <c r="B10" s="303"/>
      <c r="C10" s="304"/>
      <c r="D10" s="251"/>
      <c r="E10" s="293"/>
      <c r="F10" s="299"/>
      <c r="G10" s="283"/>
    </row>
    <row r="11" spans="1:10" ht="41.4" x14ac:dyDescent="0.25">
      <c r="A11" s="226">
        <f>A9+0.01</f>
        <v>1.03</v>
      </c>
      <c r="B11" s="303" t="s">
        <v>1305</v>
      </c>
      <c r="C11" s="304" t="e">
        <f>'m shet Miss premila'!#REF!</f>
        <v>#REF!</v>
      </c>
      <c r="D11" s="251" t="s">
        <v>131</v>
      </c>
      <c r="E11" s="293">
        <v>11070</v>
      </c>
      <c r="F11" s="299" t="e">
        <f>+C11*E11</f>
        <v>#REF!</v>
      </c>
      <c r="G11" s="283"/>
    </row>
    <row r="12" spans="1:10" s="12" customFormat="1" x14ac:dyDescent="0.25">
      <c r="A12" s="298"/>
      <c r="B12" s="307"/>
      <c r="C12" s="308"/>
      <c r="D12" s="251"/>
      <c r="E12" s="293"/>
      <c r="F12" s="299"/>
      <c r="G12" s="283"/>
    </row>
    <row r="13" spans="1:10" s="12" customFormat="1" x14ac:dyDescent="0.25">
      <c r="A13" s="310">
        <v>2</v>
      </c>
      <c r="B13" s="302" t="s">
        <v>786</v>
      </c>
      <c r="C13" s="308"/>
      <c r="D13" s="251"/>
      <c r="E13" s="293"/>
      <c r="F13" s="299"/>
      <c r="G13" s="283"/>
    </row>
    <row r="14" spans="1:10" s="12" customFormat="1" ht="82.8" x14ac:dyDescent="0.25">
      <c r="A14" s="298">
        <f>A13+0.01</f>
        <v>2.0099999999999998</v>
      </c>
      <c r="B14" s="891" t="s">
        <v>1306</v>
      </c>
      <c r="C14" s="906" t="e">
        <f>'m shet Miss premila'!#REF!</f>
        <v>#REF!</v>
      </c>
      <c r="D14" s="907" t="s">
        <v>346</v>
      </c>
      <c r="E14" s="908">
        <v>141</v>
      </c>
      <c r="F14" s="907" t="e">
        <f>E14*C14</f>
        <v>#REF!</v>
      </c>
      <c r="G14" s="283"/>
    </row>
    <row r="15" spans="1:10" s="12" customFormat="1" x14ac:dyDescent="0.25">
      <c r="A15" s="298"/>
      <c r="B15" s="307"/>
      <c r="C15" s="308"/>
      <c r="D15" s="251"/>
      <c r="E15" s="293"/>
      <c r="F15" s="299"/>
      <c r="G15" s="283"/>
    </row>
    <row r="16" spans="1:10" s="12" customFormat="1" x14ac:dyDescent="0.25">
      <c r="A16" s="335">
        <v>3</v>
      </c>
      <c r="B16" s="677" t="s">
        <v>1156</v>
      </c>
      <c r="C16" s="304"/>
      <c r="D16" s="251"/>
      <c r="E16" s="293"/>
      <c r="F16" s="299"/>
      <c r="G16" s="283"/>
    </row>
    <row r="17" spans="1:7" s="12" customFormat="1" ht="66" x14ac:dyDescent="0.25">
      <c r="A17" s="226"/>
      <c r="B17" s="333" t="s">
        <v>1284</v>
      </c>
      <c r="C17" s="906" t="e">
        <f>'m shet Miss premila'!#REF!</f>
        <v>#REF!</v>
      </c>
      <c r="D17" s="907" t="s">
        <v>1069</v>
      </c>
      <c r="E17" s="908">
        <v>17372</v>
      </c>
      <c r="F17" s="907" t="e">
        <f>E17*C17</f>
        <v>#REF!</v>
      </c>
      <c r="G17" s="283"/>
    </row>
    <row r="18" spans="1:7" s="12" customFormat="1" x14ac:dyDescent="0.25">
      <c r="A18" s="226"/>
      <c r="B18" s="677"/>
      <c r="C18" s="304"/>
      <c r="D18" s="251"/>
      <c r="E18" s="293"/>
      <c r="F18" s="299"/>
      <c r="G18" s="283"/>
    </row>
    <row r="19" spans="1:7" s="12" customFormat="1" ht="66" x14ac:dyDescent="0.25">
      <c r="A19" s="226">
        <f>A16+0.01</f>
        <v>3.01</v>
      </c>
      <c r="B19" s="333" t="s">
        <v>1285</v>
      </c>
      <c r="C19" s="304" t="e">
        <f>'m shet Miss premila'!#REF!</f>
        <v>#REF!</v>
      </c>
      <c r="D19" s="251" t="s">
        <v>1069</v>
      </c>
      <c r="E19" s="293">
        <v>2281</v>
      </c>
      <c r="F19" s="299" t="e">
        <f>E19*C19</f>
        <v>#REF!</v>
      </c>
      <c r="G19" s="283"/>
    </row>
    <row r="20" spans="1:7" s="12" customFormat="1" x14ac:dyDescent="0.25">
      <c r="A20" s="226"/>
      <c r="B20" s="333"/>
      <c r="C20" s="304"/>
      <c r="D20" s="251"/>
      <c r="E20" s="293"/>
      <c r="F20" s="299"/>
      <c r="G20" s="283"/>
    </row>
    <row r="21" spans="1:7" s="12" customFormat="1" x14ac:dyDescent="0.25">
      <c r="A21" s="335">
        <v>4</v>
      </c>
      <c r="B21" s="677" t="s">
        <v>1155</v>
      </c>
      <c r="C21" s="304"/>
      <c r="D21" s="251"/>
      <c r="E21" s="293"/>
      <c r="F21" s="299"/>
      <c r="G21" s="283"/>
    </row>
    <row r="22" spans="1:7" s="12" customFormat="1" ht="26.4" x14ac:dyDescent="0.25">
      <c r="A22" s="226"/>
      <c r="B22" s="333" t="s">
        <v>1286</v>
      </c>
      <c r="C22" s="304" t="e">
        <f>C7+C9+C11+C19</f>
        <v>#REF!</v>
      </c>
      <c r="D22" s="251" t="s">
        <v>1069</v>
      </c>
      <c r="E22" s="293">
        <v>902</v>
      </c>
      <c r="F22" s="299" t="e">
        <f>E22*C22</f>
        <v>#REF!</v>
      </c>
      <c r="G22" s="283"/>
    </row>
    <row r="23" spans="1:7" s="12" customFormat="1" x14ac:dyDescent="0.25">
      <c r="A23" s="226"/>
      <c r="B23" s="677"/>
      <c r="C23" s="304"/>
      <c r="D23" s="251"/>
      <c r="E23" s="293"/>
      <c r="F23" s="299"/>
      <c r="G23" s="283"/>
    </row>
    <row r="24" spans="1:7" s="12" customFormat="1" ht="15.6" x14ac:dyDescent="0.25">
      <c r="A24" s="310">
        <v>4</v>
      </c>
      <c r="B24" s="311" t="s">
        <v>571</v>
      </c>
      <c r="C24" s="312"/>
      <c r="D24" s="251"/>
      <c r="E24" s="293"/>
      <c r="F24" s="299"/>
      <c r="G24" s="283"/>
    </row>
    <row r="25" spans="1:7" x14ac:dyDescent="0.25">
      <c r="A25" s="226"/>
      <c r="B25" s="303"/>
      <c r="C25" s="304"/>
      <c r="D25" s="251"/>
      <c r="E25" s="293"/>
      <c r="F25" s="299"/>
      <c r="G25" s="283"/>
    </row>
    <row r="26" spans="1:7" x14ac:dyDescent="0.25">
      <c r="A26" s="226"/>
      <c r="B26" s="806" t="s">
        <v>1230</v>
      </c>
      <c r="C26" s="304"/>
      <c r="D26" s="251"/>
      <c r="E26" s="293"/>
      <c r="F26" s="299"/>
      <c r="G26" s="283"/>
    </row>
    <row r="27" spans="1:7" x14ac:dyDescent="0.25">
      <c r="A27" s="226"/>
      <c r="B27" s="303"/>
      <c r="C27" s="304"/>
      <c r="D27" s="251"/>
      <c r="E27" s="293"/>
      <c r="F27" s="299"/>
      <c r="G27" s="283"/>
    </row>
    <row r="28" spans="1:7" ht="31.2" customHeight="1" x14ac:dyDescent="0.25">
      <c r="A28" s="226"/>
      <c r="B28" s="668" t="s">
        <v>1224</v>
      </c>
      <c r="C28" s="304"/>
      <c r="D28" s="251"/>
      <c r="E28" s="293"/>
      <c r="F28" s="299"/>
      <c r="G28" s="283"/>
    </row>
    <row r="29" spans="1:7" x14ac:dyDescent="0.25">
      <c r="A29" s="226">
        <f>A24+0.01</f>
        <v>4.01</v>
      </c>
      <c r="B29" s="303" t="s">
        <v>1220</v>
      </c>
      <c r="C29" s="304" t="e">
        <f>'m shet Miss premila'!#REF!</f>
        <v>#REF!</v>
      </c>
      <c r="D29" s="251" t="s">
        <v>129</v>
      </c>
      <c r="E29" s="293">
        <f>concrete!E7</f>
        <v>1656.2356700753501</v>
      </c>
      <c r="F29" s="299" t="e">
        <f>+C29*E29</f>
        <v>#REF!</v>
      </c>
      <c r="G29" s="283"/>
    </row>
    <row r="30" spans="1:7" x14ac:dyDescent="0.25">
      <c r="A30" s="226"/>
      <c r="B30" s="303"/>
      <c r="C30" s="304"/>
      <c r="D30" s="251"/>
      <c r="E30" s="293"/>
      <c r="F30" s="299"/>
      <c r="G30" s="283"/>
    </row>
    <row r="31" spans="1:7" x14ac:dyDescent="0.25">
      <c r="A31" s="226"/>
      <c r="B31" s="303"/>
      <c r="C31" s="304"/>
      <c r="D31" s="251"/>
      <c r="E31" s="293"/>
      <c r="F31" s="299"/>
      <c r="G31" s="283"/>
    </row>
    <row r="32" spans="1:7" x14ac:dyDescent="0.25">
      <c r="A32" s="226"/>
      <c r="B32" s="303"/>
      <c r="C32" s="304"/>
      <c r="D32" s="251"/>
      <c r="E32" s="293"/>
      <c r="F32" s="299"/>
      <c r="G32" s="283"/>
    </row>
    <row r="33" spans="1:7" x14ac:dyDescent="0.25">
      <c r="A33" s="226"/>
      <c r="B33" s="303"/>
      <c r="C33" s="304"/>
      <c r="D33" s="251"/>
      <c r="E33" s="293"/>
      <c r="F33" s="299"/>
      <c r="G33" s="283"/>
    </row>
    <row r="34" spans="1:7" x14ac:dyDescent="0.25">
      <c r="A34" s="226"/>
      <c r="B34" s="303"/>
      <c r="C34" s="304"/>
      <c r="D34" s="251"/>
      <c r="E34" s="293"/>
      <c r="F34" s="299"/>
      <c r="G34" s="283"/>
    </row>
    <row r="35" spans="1:7" x14ac:dyDescent="0.25">
      <c r="A35" s="226"/>
      <c r="B35" s="303"/>
      <c r="C35" s="304"/>
      <c r="D35" s="251"/>
      <c r="E35" s="293"/>
      <c r="F35" s="299"/>
      <c r="G35" s="283"/>
    </row>
    <row r="36" spans="1:7" x14ac:dyDescent="0.25">
      <c r="A36" s="226"/>
      <c r="B36" s="303"/>
      <c r="C36" s="304"/>
      <c r="D36" s="251"/>
      <c r="E36" s="293"/>
      <c r="F36" s="299"/>
      <c r="G36" s="283"/>
    </row>
    <row r="37" spans="1:7" x14ac:dyDescent="0.25">
      <c r="A37" s="708"/>
      <c r="B37" s="709"/>
      <c r="C37" s="710"/>
      <c r="D37" s="711"/>
      <c r="E37" s="712"/>
      <c r="F37" s="713"/>
      <c r="G37" s="283"/>
    </row>
    <row r="38" spans="1:7" x14ac:dyDescent="0.25">
      <c r="A38" s="812">
        <v>5</v>
      </c>
      <c r="B38" s="810" t="s">
        <v>166</v>
      </c>
      <c r="C38" s="715"/>
      <c r="D38" s="250"/>
      <c r="E38" s="716"/>
      <c r="F38" s="717"/>
      <c r="G38" s="283"/>
    </row>
    <row r="39" spans="1:7" x14ac:dyDescent="0.25">
      <c r="A39" s="226"/>
      <c r="B39" s="326"/>
      <c r="C39" s="304"/>
      <c r="D39" s="251"/>
      <c r="E39" s="293"/>
      <c r="F39" s="299"/>
      <c r="G39" s="283"/>
    </row>
    <row r="40" spans="1:7" x14ac:dyDescent="0.25">
      <c r="A40" s="226"/>
      <c r="B40" s="670" t="s">
        <v>1229</v>
      </c>
      <c r="C40" s="301"/>
      <c r="D40" s="251"/>
      <c r="E40" s="293"/>
      <c r="F40" s="299"/>
      <c r="G40" s="283"/>
    </row>
    <row r="41" spans="1:7" x14ac:dyDescent="0.25">
      <c r="A41" s="226"/>
      <c r="B41" s="330"/>
      <c r="C41" s="308"/>
      <c r="D41" s="251"/>
      <c r="E41" s="293"/>
      <c r="F41" s="299"/>
      <c r="G41" s="283"/>
    </row>
    <row r="42" spans="1:7" ht="55.2" x14ac:dyDescent="0.25">
      <c r="A42" s="226"/>
      <c r="B42" s="324" t="s">
        <v>1219</v>
      </c>
      <c r="C42" s="304"/>
      <c r="D42" s="251"/>
      <c r="E42" s="293"/>
      <c r="F42" s="299"/>
      <c r="G42" s="283"/>
    </row>
    <row r="43" spans="1:7" x14ac:dyDescent="0.25">
      <c r="A43" s="226">
        <f>A38+0.01</f>
        <v>5.01</v>
      </c>
      <c r="B43" s="303" t="s">
        <v>1220</v>
      </c>
      <c r="C43" s="304" t="e">
        <f>'m shet Miss premila'!#REF!</f>
        <v>#REF!</v>
      </c>
      <c r="D43" s="251" t="s">
        <v>170</v>
      </c>
      <c r="E43" s="293">
        <f>concrete!E47</f>
        <v>33727.723056537106</v>
      </c>
      <c r="F43" s="299" t="e">
        <f>C43*E43</f>
        <v>#REF!</v>
      </c>
      <c r="G43" s="283"/>
    </row>
    <row r="44" spans="1:7" x14ac:dyDescent="0.25">
      <c r="A44" s="226">
        <f>A43+0.01</f>
        <v>5.0199999999999996</v>
      </c>
      <c r="B44" s="303" t="s">
        <v>1226</v>
      </c>
      <c r="C44" s="304" t="e">
        <f>'m shet Miss premila'!#REF!</f>
        <v>#REF!</v>
      </c>
      <c r="D44" s="251" t="s">
        <v>170</v>
      </c>
      <c r="E44" s="293">
        <f>E43</f>
        <v>33727.723056537106</v>
      </c>
      <c r="F44" s="299" t="e">
        <f>C44*E44</f>
        <v>#REF!</v>
      </c>
      <c r="G44" s="283"/>
    </row>
    <row r="45" spans="1:7" x14ac:dyDescent="0.25">
      <c r="A45" s="226"/>
      <c r="B45" s="303"/>
      <c r="C45" s="304"/>
      <c r="D45" s="251"/>
      <c r="E45" s="293"/>
      <c r="F45" s="299"/>
      <c r="G45" s="283"/>
    </row>
    <row r="46" spans="1:7" x14ac:dyDescent="0.25">
      <c r="A46" s="335">
        <v>6</v>
      </c>
      <c r="B46" s="326" t="s">
        <v>572</v>
      </c>
      <c r="C46" s="304"/>
      <c r="D46" s="251"/>
      <c r="E46" s="293"/>
      <c r="F46" s="299"/>
      <c r="G46" s="283"/>
    </row>
    <row r="47" spans="1:7" x14ac:dyDescent="0.25">
      <c r="A47" s="226"/>
      <c r="B47" s="303"/>
      <c r="C47" s="304"/>
      <c r="D47" s="251"/>
      <c r="E47" s="293"/>
      <c r="F47" s="299"/>
      <c r="G47" s="283"/>
    </row>
    <row r="48" spans="1:7" ht="27.6" x14ac:dyDescent="0.25">
      <c r="A48" s="226"/>
      <c r="B48" s="303" t="s">
        <v>1307</v>
      </c>
      <c r="C48" s="304"/>
      <c r="D48" s="251"/>
      <c r="E48" s="293"/>
      <c r="F48" s="299"/>
      <c r="G48" s="283"/>
    </row>
    <row r="49" spans="1:13" x14ac:dyDescent="0.25">
      <c r="A49" s="226"/>
      <c r="B49" s="303"/>
      <c r="C49" s="304"/>
      <c r="D49" s="251"/>
      <c r="E49" s="293"/>
      <c r="F49" s="299"/>
      <c r="G49" s="283"/>
    </row>
    <row r="50" spans="1:13" x14ac:dyDescent="0.25">
      <c r="A50" s="226">
        <f>A46+0.01</f>
        <v>6.01</v>
      </c>
      <c r="B50" s="668" t="s">
        <v>1221</v>
      </c>
      <c r="C50" s="304" t="e">
        <f>'m shet Miss premila'!#REF!</f>
        <v>#REF!</v>
      </c>
      <c r="D50" s="251" t="s">
        <v>129</v>
      </c>
      <c r="E50" s="293">
        <f>concrete!E67</f>
        <v>2450</v>
      </c>
      <c r="F50" s="299" t="e">
        <f t="shared" ref="F50:F51" si="0">C50*E50</f>
        <v>#REF!</v>
      </c>
      <c r="G50" s="283"/>
    </row>
    <row r="51" spans="1:13" x14ac:dyDescent="0.25">
      <c r="A51" s="226">
        <f>A50+0.01</f>
        <v>6.02</v>
      </c>
      <c r="B51" s="668" t="s">
        <v>1222</v>
      </c>
      <c r="C51" s="304" t="e">
        <f>'m shet Miss premila'!#REF!</f>
        <v>#REF!</v>
      </c>
      <c r="D51" s="251" t="s">
        <v>129</v>
      </c>
      <c r="E51" s="293">
        <f>concrete!E77</f>
        <v>2150</v>
      </c>
      <c r="F51" s="299" t="e">
        <f t="shared" si="0"/>
        <v>#REF!</v>
      </c>
      <c r="G51" s="283"/>
    </row>
    <row r="52" spans="1:13" x14ac:dyDescent="0.25">
      <c r="A52" s="226"/>
      <c r="B52" s="668"/>
      <c r="C52" s="304"/>
      <c r="D52" s="251"/>
      <c r="E52" s="293"/>
      <c r="F52" s="299"/>
      <c r="G52" s="283"/>
    </row>
    <row r="53" spans="1:13" x14ac:dyDescent="0.25">
      <c r="A53" s="335">
        <v>7</v>
      </c>
      <c r="B53" s="326" t="s">
        <v>573</v>
      </c>
      <c r="C53" s="304"/>
      <c r="D53" s="251"/>
      <c r="E53" s="293"/>
      <c r="F53" s="299"/>
      <c r="G53" s="283"/>
    </row>
    <row r="54" spans="1:13" x14ac:dyDescent="0.25">
      <c r="A54" s="226"/>
      <c r="B54" s="303"/>
      <c r="C54" s="304"/>
      <c r="D54" s="251"/>
      <c r="E54" s="293"/>
      <c r="F54" s="299"/>
      <c r="G54" s="283"/>
    </row>
    <row r="55" spans="1:13" ht="27.6" x14ac:dyDescent="0.25">
      <c r="A55" s="226"/>
      <c r="B55" s="668" t="s">
        <v>1223</v>
      </c>
      <c r="C55" s="304"/>
      <c r="D55" s="251"/>
      <c r="E55" s="293"/>
      <c r="F55" s="299"/>
      <c r="G55" s="283"/>
    </row>
    <row r="56" spans="1:13" x14ac:dyDescent="0.25">
      <c r="A56" s="226">
        <f>A53+0.01</f>
        <v>7.01</v>
      </c>
      <c r="B56" s="668" t="s">
        <v>1287</v>
      </c>
      <c r="C56" s="304" t="e">
        <f>'m shet Miss premila'!#REF!</f>
        <v>#REF!</v>
      </c>
      <c r="D56" s="251" t="s">
        <v>134</v>
      </c>
      <c r="E56" s="293" t="e">
        <f>(concrete!#REF!+concrete!#REF!)/2</f>
        <v>#REF!</v>
      </c>
      <c r="F56" s="299" t="e">
        <f>+C56*E56</f>
        <v>#REF!</v>
      </c>
      <c r="G56" s="283"/>
    </row>
    <row r="57" spans="1:13" x14ac:dyDescent="0.25">
      <c r="A57" s="226"/>
      <c r="B57" s="668"/>
      <c r="C57" s="304"/>
      <c r="D57" s="251"/>
      <c r="E57" s="293"/>
      <c r="F57" s="299"/>
      <c r="G57" s="283"/>
    </row>
    <row r="58" spans="1:13" x14ac:dyDescent="0.25">
      <c r="A58" s="335">
        <v>8</v>
      </c>
      <c r="B58" s="671" t="s">
        <v>1225</v>
      </c>
      <c r="C58" s="304"/>
      <c r="D58" s="251"/>
      <c r="E58" s="293"/>
      <c r="F58" s="299"/>
      <c r="G58" s="283"/>
    </row>
    <row r="59" spans="1:13" ht="66" customHeight="1" x14ac:dyDescent="0.25">
      <c r="A59" s="226">
        <f>A58+0.01</f>
        <v>8.01</v>
      </c>
      <c r="B59" s="668" t="s">
        <v>1288</v>
      </c>
      <c r="C59" s="304">
        <v>268</v>
      </c>
      <c r="D59" s="251" t="s">
        <v>981</v>
      </c>
      <c r="E59" s="293">
        <v>1450</v>
      </c>
      <c r="F59" s="299">
        <f>+C59*E59</f>
        <v>388600</v>
      </c>
      <c r="G59" s="283"/>
      <c r="K59" s="24">
        <f>67*1</f>
        <v>67</v>
      </c>
      <c r="L59" s="24">
        <f>4.8/1</f>
        <v>4.8</v>
      </c>
      <c r="M59" s="24">
        <f>4*K59</f>
        <v>268</v>
      </c>
    </row>
    <row r="60" spans="1:13" ht="14.4" thickBot="1" x14ac:dyDescent="0.3">
      <c r="A60" s="226"/>
      <c r="B60" s="303"/>
      <c r="C60" s="304"/>
      <c r="D60" s="251"/>
      <c r="E60" s="293" t="s">
        <v>1203</v>
      </c>
      <c r="F60" s="299"/>
      <c r="G60" s="283"/>
      <c r="K60" s="24">
        <f>5*3.28</f>
        <v>16.399999999999999</v>
      </c>
      <c r="L60" s="24">
        <f>67*3.28</f>
        <v>219.76</v>
      </c>
      <c r="M60" s="24">
        <f>L60*K60</f>
        <v>3604.0639999999994</v>
      </c>
    </row>
    <row r="61" spans="1:13" s="12" customFormat="1" ht="27.6" x14ac:dyDescent="0.25">
      <c r="A61" s="718"/>
      <c r="B61" s="719" t="s">
        <v>1227</v>
      </c>
      <c r="C61" s="720"/>
      <c r="D61" s="721"/>
      <c r="E61" s="722"/>
      <c r="F61" s="723" t="e">
        <f>SUM(F6:F60)</f>
        <v>#REF!</v>
      </c>
      <c r="G61" s="284"/>
      <c r="H61" s="12" t="e">
        <f>F61/67</f>
        <v>#REF!</v>
      </c>
      <c r="M61" s="12" t="e">
        <f>F61/M60</f>
        <v>#REF!</v>
      </c>
    </row>
    <row r="66" spans="6:7" x14ac:dyDescent="0.25">
      <c r="F66" s="39">
        <f>67*4.2</f>
        <v>281.40000000000003</v>
      </c>
      <c r="G66" s="39" t="e">
        <f>F61/F66</f>
        <v>#REF!</v>
      </c>
    </row>
    <row r="67" spans="6:7" x14ac:dyDescent="0.25">
      <c r="F67" s="39">
        <f>F66*10.76</f>
        <v>3027.8640000000005</v>
      </c>
      <c r="G67" s="39" t="e">
        <f>F61/F67</f>
        <v>#REF!</v>
      </c>
    </row>
    <row r="93" spans="4:9" x14ac:dyDescent="0.25">
      <c r="D93" s="38">
        <f>600/10.76</f>
        <v>55.762081784386616</v>
      </c>
      <c r="G93" s="39">
        <f>1000/50</f>
        <v>20</v>
      </c>
    </row>
    <row r="94" spans="4:9" x14ac:dyDescent="0.25">
      <c r="D94" s="38">
        <f>D93*0.05</f>
        <v>2.7881040892193312</v>
      </c>
      <c r="G94" s="39">
        <f>50/1000</f>
        <v>0.05</v>
      </c>
      <c r="I94" s="24">
        <f>D94/2.83</f>
        <v>0.98519579124357992</v>
      </c>
    </row>
    <row r="97" spans="3:4" x14ac:dyDescent="0.25">
      <c r="C97" s="39" t="s">
        <v>783</v>
      </c>
      <c r="D97" s="38">
        <f>13*I94</f>
        <v>12.807545286166539</v>
      </c>
    </row>
    <row r="98" spans="3:4" x14ac:dyDescent="0.25">
      <c r="C98" s="39" t="s">
        <v>784</v>
      </c>
      <c r="D98" s="38">
        <f>0.53*I94</f>
        <v>0.52215376935909741</v>
      </c>
    </row>
    <row r="99" spans="3:4" x14ac:dyDescent="0.25">
      <c r="C99" s="39" t="s">
        <v>785</v>
      </c>
      <c r="D99" s="38">
        <f>0.92*I94</f>
        <v>0.90638012794409362</v>
      </c>
    </row>
  </sheetData>
  <pageMargins left="0.51181102362204722" right="0.51181102362204722" top="0.23622047244094491" bottom="0.23622047244094491" header="0.51181102362204722" footer="0.51181102362204722"/>
  <pageSetup orientation="portrait" r:id="rId1"/>
  <headerFooter alignWithMargins="0">
    <oddFooter>&amp;C&amp;P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
  <sheetViews>
    <sheetView workbookViewId="0"/>
  </sheetViews>
  <sheetFormatPr defaultRowHeight="13.2" x14ac:dyDescent="0.25"/>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
  <sheetViews>
    <sheetView workbookViewId="0"/>
  </sheetViews>
  <sheetFormatPr defaultRowHeight="13.2" x14ac:dyDescent="0.25"/>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
  <sheetViews>
    <sheetView workbookViewId="0"/>
  </sheetViews>
  <sheetFormatPr defaultRowHeight="13.2"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45</vt:i4>
      </vt:variant>
    </vt:vector>
  </HeadingPairs>
  <TitlesOfParts>
    <vt:vector size="90" baseType="lpstr">
      <vt:lpstr>front</vt:lpstr>
      <vt:lpstr>grnd summry- tender</vt:lpstr>
      <vt:lpstr>summary</vt:lpstr>
      <vt:lpstr>Main sum</vt:lpstr>
      <vt:lpstr>prelims</vt:lpstr>
      <vt:lpstr>exca</vt:lpstr>
      <vt:lpstr>concrete</vt:lpstr>
      <vt:lpstr>masnry</vt:lpstr>
      <vt:lpstr>floring</vt:lpstr>
      <vt:lpstr>plastering</vt:lpstr>
      <vt:lpstr>tile</vt:lpstr>
      <vt:lpstr>paint</vt:lpstr>
      <vt:lpstr>plumbing </vt:lpstr>
      <vt:lpstr>electicle </vt:lpstr>
      <vt:lpstr>metal </vt:lpstr>
      <vt:lpstr>waterprof</vt:lpstr>
      <vt:lpstr>Pool</vt:lpstr>
      <vt:lpstr>Pantry</vt:lpstr>
      <vt:lpstr>Rate Breakdowns</vt:lpstr>
      <vt:lpstr>roof</vt:lpstr>
      <vt:lpstr>mis</vt:lpstr>
      <vt:lpstr>Material</vt:lpstr>
      <vt:lpstr>m shet Miss premila</vt:lpstr>
      <vt:lpstr>Sheet7</vt:lpstr>
      <vt:lpstr>Sheet4</vt:lpstr>
      <vt:lpstr>Sheet5</vt:lpstr>
      <vt:lpstr>rf</vt:lpstr>
      <vt:lpstr>Minuwangoda Final</vt:lpstr>
      <vt:lpstr>Timber doors</vt:lpstr>
      <vt:lpstr>steel work</vt:lpstr>
      <vt:lpstr>Sheet6</vt:lpstr>
      <vt:lpstr>BOQ-Electrical System</vt:lpstr>
      <vt:lpstr>electicle</vt:lpstr>
      <vt:lpstr>Wattala - (6)</vt:lpstr>
      <vt:lpstr>machncle</vt:lpstr>
      <vt:lpstr>fire</vt:lpstr>
      <vt:lpstr>misalenous</vt:lpstr>
      <vt:lpstr>L.toilet</vt:lpstr>
      <vt:lpstr>lps</vt:lpstr>
      <vt:lpstr>cctv</vt:lpstr>
      <vt:lpstr>TS</vt:lpstr>
      <vt:lpstr>retaining wall</vt:lpstr>
      <vt:lpstr>Sheet3</vt:lpstr>
      <vt:lpstr>Sheet2</vt:lpstr>
      <vt:lpstr>Sheet1</vt:lpstr>
      <vt:lpstr>'BOQ-Electrical System'!Print_Area</vt:lpstr>
      <vt:lpstr>concrete!Print_Area</vt:lpstr>
      <vt:lpstr>electicle!Print_Area</vt:lpstr>
      <vt:lpstr>'electicle '!Print_Area</vt:lpstr>
      <vt:lpstr>exca!Print_Area</vt:lpstr>
      <vt:lpstr>fire!Print_Area</vt:lpstr>
      <vt:lpstr>floring!Print_Area</vt:lpstr>
      <vt:lpstr>front!Print_Area</vt:lpstr>
      <vt:lpstr>'grnd summry- tender'!Print_Area</vt:lpstr>
      <vt:lpstr>L.toilet!Print_Area</vt:lpstr>
      <vt:lpstr>lps!Print_Area</vt:lpstr>
      <vt:lpstr>'m shet Miss premila'!Print_Area</vt:lpstr>
      <vt:lpstr>machncle!Print_Area</vt:lpstr>
      <vt:lpstr>'Main sum'!Print_Area</vt:lpstr>
      <vt:lpstr>masnry!Print_Area</vt:lpstr>
      <vt:lpstr>Material!Print_Area</vt:lpstr>
      <vt:lpstr>'metal '!Print_Area</vt:lpstr>
      <vt:lpstr>mis!Print_Area</vt:lpstr>
      <vt:lpstr>misalenous!Print_Area</vt:lpstr>
      <vt:lpstr>paint!Print_Area</vt:lpstr>
      <vt:lpstr>Pantry!Print_Area</vt:lpstr>
      <vt:lpstr>plastering!Print_Area</vt:lpstr>
      <vt:lpstr>'plumbing '!Print_Area</vt:lpstr>
      <vt:lpstr>Pool!Print_Area</vt:lpstr>
      <vt:lpstr>prelims!Print_Area</vt:lpstr>
      <vt:lpstr>'retaining wall'!Print_Area</vt:lpstr>
      <vt:lpstr>roof!Print_Area</vt:lpstr>
      <vt:lpstr>'steel work'!Print_Area</vt:lpstr>
      <vt:lpstr>summary!Print_Area</vt:lpstr>
      <vt:lpstr>tile!Print_Area</vt:lpstr>
      <vt:lpstr>'Timber doors'!Print_Area</vt:lpstr>
      <vt:lpstr>TS!Print_Area</vt:lpstr>
      <vt:lpstr>waterprof!Print_Area</vt:lpstr>
      <vt:lpstr>'BOQ-Electrical System'!Print_Titles</vt:lpstr>
      <vt:lpstr>concrete!Print_Titles</vt:lpstr>
      <vt:lpstr>'electicle '!Print_Titles</vt:lpstr>
      <vt:lpstr>exca!Print_Titles</vt:lpstr>
      <vt:lpstr>'metal '!Print_Titles</vt:lpstr>
      <vt:lpstr>Pantry!Print_Titles</vt:lpstr>
      <vt:lpstr>plastering!Print_Titles</vt:lpstr>
      <vt:lpstr>'plumbing '!Print_Titles</vt:lpstr>
      <vt:lpstr>Pool!Print_Titles</vt:lpstr>
      <vt:lpstr>roof!Print_Titles</vt:lpstr>
      <vt:lpstr>'steel work'!Print_Titles</vt:lpstr>
      <vt:lpstr>tile!Print_Titles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HB User</cp:lastModifiedBy>
  <cp:lastPrinted>2023-11-29T11:11:08Z</cp:lastPrinted>
  <dcterms:created xsi:type="dcterms:W3CDTF">2017-08-09T00:03:19Z</dcterms:created>
  <dcterms:modified xsi:type="dcterms:W3CDTF">2023-12-01T09:13:56Z</dcterms:modified>
</cp:coreProperties>
</file>